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transk\Downloads\"/>
    </mc:Choice>
  </mc:AlternateContent>
  <xr:revisionPtr revIDLastSave="0" documentId="8_{E3C9BAD8-7CC6-48EB-8404-765DAEB0D88F}" xr6:coauthVersionLast="47" xr6:coauthVersionMax="47" xr10:uidLastSave="{00000000-0000-0000-0000-000000000000}"/>
  <bookViews>
    <workbookView xWindow="-110" yWindow="-110" windowWidth="22780" windowHeight="14540" xr2:uid="{72CE87F2-D017-4E8D-8723-4435D1F9D89B}"/>
  </bookViews>
  <sheets>
    <sheet name="Outcome Projections" sheetId="8" r:id="rId1"/>
    <sheet name="Financial Projections" sheetId="9" r:id="rId2"/>
    <sheet name="New Single Family Housing" sheetId="2" r:id="rId3"/>
    <sheet name="New Rental Housing" sheetId="4" r:id="rId4"/>
    <sheet name="Buyouts" sheetId="7" r:id="rId5"/>
    <sheet name="Stormwater Infrastructure" sheetId="5" r:id="rId6"/>
    <sheet name="Planning" sheetId="6" r:id="rId7"/>
    <sheet name="Admin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4" l="1"/>
  <c r="C213" i="9"/>
  <c r="G213" i="9"/>
  <c r="F213" i="9"/>
  <c r="G214" i="9"/>
  <c r="G211" i="9"/>
  <c r="U140" i="2" l="1"/>
  <c r="F260" i="2"/>
  <c r="J38" i="4" l="1"/>
  <c r="J39" i="4"/>
  <c r="J40" i="4"/>
  <c r="J41" i="4"/>
  <c r="J42" i="4"/>
  <c r="J43" i="4"/>
  <c r="J44" i="4"/>
  <c r="J45" i="4"/>
  <c r="J46" i="4"/>
  <c r="J47" i="4"/>
  <c r="J49" i="4"/>
  <c r="J50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3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97" i="4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27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6" i="7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187" i="4"/>
  <c r="T119" i="2"/>
  <c r="AD119" i="2"/>
  <c r="E119" i="2"/>
  <c r="E120" i="2" s="1"/>
  <c r="U288" i="2"/>
  <c r="F138" i="4"/>
  <c r="F19" i="2"/>
  <c r="H17" i="10"/>
  <c r="E360" i="7"/>
  <c r="E330" i="7"/>
  <c r="J149" i="7"/>
  <c r="J28" i="7"/>
  <c r="E240" i="2"/>
  <c r="T59" i="2"/>
  <c r="T60" i="2" s="1"/>
  <c r="E209" i="4"/>
  <c r="E208" i="4"/>
  <c r="E269" i="4"/>
  <c r="E178" i="4"/>
  <c r="T299" i="2"/>
  <c r="E299" i="2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7" i="4"/>
  <c r="E239" i="4"/>
  <c r="E28" i="4"/>
  <c r="J252" i="4"/>
  <c r="J253" i="4"/>
  <c r="J254" i="4"/>
  <c r="J255" i="4"/>
  <c r="J256" i="4"/>
  <c r="J257" i="4"/>
  <c r="J258" i="4"/>
  <c r="J259" i="4"/>
  <c r="J251" i="4"/>
  <c r="E252" i="4"/>
  <c r="E253" i="4"/>
  <c r="E254" i="4"/>
  <c r="E255" i="4"/>
  <c r="E256" i="4"/>
  <c r="E257" i="4"/>
  <c r="E258" i="4"/>
  <c r="E259" i="4"/>
  <c r="E251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27" i="4"/>
  <c r="E59" i="2"/>
  <c r="T149" i="2"/>
  <c r="T139" i="2" s="1"/>
  <c r="E29" i="2"/>
  <c r="E17" i="2" s="1"/>
  <c r="U78" i="2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60" i="10"/>
  <c r="J70" i="5"/>
  <c r="J71" i="5"/>
  <c r="J72" i="5"/>
  <c r="J73" i="5"/>
  <c r="J74" i="5"/>
  <c r="J75" i="5"/>
  <c r="J76" i="5"/>
  <c r="J77" i="5"/>
  <c r="J78" i="5"/>
  <c r="J69" i="5"/>
  <c r="E70" i="5"/>
  <c r="E71" i="5"/>
  <c r="E72" i="5"/>
  <c r="E73" i="5"/>
  <c r="E74" i="5"/>
  <c r="E75" i="5"/>
  <c r="E76" i="5"/>
  <c r="E77" i="5"/>
  <c r="E78" i="5"/>
  <c r="E69" i="5"/>
  <c r="J252" i="2"/>
  <c r="J253" i="2"/>
  <c r="J254" i="2"/>
  <c r="J255" i="2"/>
  <c r="J256" i="2"/>
  <c r="J257" i="2"/>
  <c r="J258" i="2"/>
  <c r="J259" i="2"/>
  <c r="J251" i="2"/>
  <c r="E252" i="2"/>
  <c r="E253" i="2"/>
  <c r="E254" i="2"/>
  <c r="E255" i="2"/>
  <c r="E256" i="2"/>
  <c r="E257" i="2"/>
  <c r="E258" i="2"/>
  <c r="E259" i="2"/>
  <c r="E251" i="2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52" i="9"/>
  <c r="B153" i="9"/>
  <c r="B154" i="9"/>
  <c r="B155" i="9"/>
  <c r="B156" i="9"/>
  <c r="B157" i="9"/>
  <c r="B169" i="9"/>
  <c r="B170" i="9"/>
  <c r="B171" i="9"/>
  <c r="B172" i="9"/>
  <c r="B173" i="9"/>
  <c r="B174" i="9"/>
  <c r="B175" i="9"/>
  <c r="B152" i="9"/>
  <c r="E110" i="6"/>
  <c r="E111" i="6"/>
  <c r="E112" i="6"/>
  <c r="E113" i="6"/>
  <c r="E114" i="6"/>
  <c r="E115" i="6"/>
  <c r="E116" i="6"/>
  <c r="E109" i="6"/>
  <c r="F118" i="6"/>
  <c r="J192" i="2"/>
  <c r="J193" i="2"/>
  <c r="J194" i="2"/>
  <c r="J195" i="2"/>
  <c r="J196" i="2"/>
  <c r="J197" i="2"/>
  <c r="J198" i="2"/>
  <c r="J199" i="2"/>
  <c r="J200" i="2"/>
  <c r="J191" i="2"/>
  <c r="E198" i="2"/>
  <c r="E199" i="2"/>
  <c r="E200" i="2"/>
  <c r="E191" i="2"/>
  <c r="J8" i="2"/>
  <c r="J9" i="2"/>
  <c r="J10" i="2"/>
  <c r="J11" i="2"/>
  <c r="J12" i="2"/>
  <c r="J13" i="2"/>
  <c r="J14" i="2"/>
  <c r="J15" i="2"/>
  <c r="J16" i="2"/>
  <c r="J17" i="2"/>
  <c r="J18" i="2"/>
  <c r="J7" i="2"/>
  <c r="Y132" i="2"/>
  <c r="Y133" i="2"/>
  <c r="Y134" i="2"/>
  <c r="Y135" i="2"/>
  <c r="Y136" i="2"/>
  <c r="Y137" i="2"/>
  <c r="Y138" i="2"/>
  <c r="Y139" i="2"/>
  <c r="Y140" i="2"/>
  <c r="Y141" i="2"/>
  <c r="Y131" i="2"/>
  <c r="J132" i="2"/>
  <c r="J133" i="2"/>
  <c r="J134" i="2"/>
  <c r="J135" i="2"/>
  <c r="J136" i="2"/>
  <c r="J137" i="2"/>
  <c r="J138" i="2"/>
  <c r="J139" i="2"/>
  <c r="J140" i="2"/>
  <c r="J141" i="2"/>
  <c r="J131" i="2"/>
  <c r="E132" i="2"/>
  <c r="E131" i="2"/>
  <c r="E41" i="6"/>
  <c r="B159" i="9" s="1"/>
  <c r="E42" i="6"/>
  <c r="B160" i="9" s="1"/>
  <c r="E43" i="6"/>
  <c r="B161" i="9" s="1"/>
  <c r="E44" i="6"/>
  <c r="B162" i="9" s="1"/>
  <c r="E45" i="6"/>
  <c r="B163" i="9" s="1"/>
  <c r="E46" i="6"/>
  <c r="B164" i="9" s="1"/>
  <c r="E47" i="6"/>
  <c r="B165" i="9" s="1"/>
  <c r="E48" i="6"/>
  <c r="B166" i="9" s="1"/>
  <c r="E49" i="6"/>
  <c r="B167" i="9" s="1"/>
  <c r="E50" i="6"/>
  <c r="B168" i="9" s="1"/>
  <c r="E40" i="6"/>
  <c r="B158" i="9" s="1"/>
  <c r="E118" i="5"/>
  <c r="E88" i="5"/>
  <c r="E268" i="4"/>
  <c r="E238" i="4"/>
  <c r="E148" i="4"/>
  <c r="E118" i="4"/>
  <c r="E88" i="4"/>
  <c r="E58" i="4"/>
  <c r="E209" i="2"/>
  <c r="E192" i="2" s="1"/>
  <c r="E149" i="2"/>
  <c r="E150" i="2" s="1"/>
  <c r="T89" i="2"/>
  <c r="T90" i="2" s="1"/>
  <c r="F89" i="2"/>
  <c r="F76" i="2"/>
  <c r="F75" i="2"/>
  <c r="F74" i="2"/>
  <c r="U77" i="2"/>
  <c r="F196" i="4"/>
  <c r="E89" i="2"/>
  <c r="K287" i="2"/>
  <c r="F106" i="10"/>
  <c r="J158" i="4"/>
  <c r="J159" i="4"/>
  <c r="J160" i="4"/>
  <c r="J161" i="4"/>
  <c r="J162" i="4"/>
  <c r="J163" i="4"/>
  <c r="J164" i="4"/>
  <c r="J165" i="4"/>
  <c r="J166" i="4"/>
  <c r="J167" i="4"/>
  <c r="J168" i="4"/>
  <c r="J157" i="4"/>
  <c r="E158" i="4"/>
  <c r="E159" i="4"/>
  <c r="E160" i="4"/>
  <c r="E161" i="4"/>
  <c r="E162" i="4"/>
  <c r="E163" i="4"/>
  <c r="E164" i="4"/>
  <c r="E165" i="4"/>
  <c r="E166" i="4"/>
  <c r="E167" i="4"/>
  <c r="E168" i="4"/>
  <c r="E157" i="4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182" i="9"/>
  <c r="E197" i="2" l="1"/>
  <c r="E195" i="2"/>
  <c r="E137" i="2"/>
  <c r="E194" i="2"/>
  <c r="E141" i="2"/>
  <c r="E196" i="2"/>
  <c r="T150" i="2"/>
  <c r="E136" i="2"/>
  <c r="E193" i="2"/>
  <c r="E140" i="2"/>
  <c r="E30" i="2"/>
  <c r="E139" i="2"/>
  <c r="E138" i="2"/>
  <c r="E135" i="2"/>
  <c r="E134" i="2"/>
  <c r="E133" i="2"/>
  <c r="E16" i="2"/>
  <c r="B176" i="9"/>
  <c r="T137" i="2"/>
  <c r="T136" i="2"/>
  <c r="T135" i="2"/>
  <c r="T134" i="2"/>
  <c r="T133" i="2"/>
  <c r="T132" i="2"/>
  <c r="T138" i="2"/>
  <c r="T131" i="2"/>
  <c r="T141" i="2"/>
  <c r="T140" i="2"/>
  <c r="E15" i="2"/>
  <c r="E14" i="2"/>
  <c r="E13" i="2"/>
  <c r="E12" i="2"/>
  <c r="E11" i="2"/>
  <c r="E10" i="2"/>
  <c r="E9" i="2"/>
  <c r="E8" i="2"/>
  <c r="E7" i="2"/>
  <c r="E18" i="2"/>
  <c r="G109" i="6"/>
  <c r="G110" i="6" s="1"/>
  <c r="G111" i="6" s="1"/>
  <c r="G112" i="6" s="1"/>
  <c r="G113" i="6" s="1"/>
  <c r="G114" i="6" s="1"/>
  <c r="G115" i="6" s="1"/>
  <c r="G116" i="6" s="1"/>
  <c r="G117" i="6" s="1"/>
  <c r="G118" i="6" s="1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91" i="9"/>
  <c r="F92" i="9"/>
  <c r="F106" i="9"/>
  <c r="F107" i="9"/>
  <c r="F108" i="9"/>
  <c r="F109" i="9"/>
  <c r="F110" i="9"/>
  <c r="F111" i="9"/>
  <c r="F112" i="9"/>
  <c r="F113" i="9"/>
  <c r="F114" i="9"/>
  <c r="F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91" i="9"/>
  <c r="B92" i="9"/>
  <c r="B93" i="9"/>
  <c r="B94" i="9"/>
  <c r="B95" i="9"/>
  <c r="B105" i="9"/>
  <c r="B106" i="9"/>
  <c r="B107" i="9"/>
  <c r="B108" i="9"/>
  <c r="B109" i="9"/>
  <c r="B110" i="9"/>
  <c r="B111" i="9"/>
  <c r="B112" i="9"/>
  <c r="B113" i="9"/>
  <c r="B114" i="9"/>
  <c r="B91" i="9"/>
  <c r="D91" i="9" s="1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28" i="8"/>
  <c r="E300" i="7"/>
  <c r="E270" i="7"/>
  <c r="N217" i="7"/>
  <c r="N218" i="7"/>
  <c r="M217" i="7"/>
  <c r="L217" i="7"/>
  <c r="J218" i="7"/>
  <c r="J219" i="7"/>
  <c r="J220" i="7"/>
  <c r="J221" i="7"/>
  <c r="J222" i="7"/>
  <c r="J223" i="7"/>
  <c r="J224" i="7"/>
  <c r="J225" i="7"/>
  <c r="J217" i="7"/>
  <c r="H217" i="7"/>
  <c r="I217" i="7" s="1"/>
  <c r="G217" i="7"/>
  <c r="G218" i="7" s="1"/>
  <c r="E218" i="7"/>
  <c r="E219" i="7"/>
  <c r="E220" i="7"/>
  <c r="E221" i="7"/>
  <c r="E222" i="7"/>
  <c r="E223" i="7"/>
  <c r="E224" i="7"/>
  <c r="E225" i="7"/>
  <c r="E217" i="7"/>
  <c r="E240" i="7"/>
  <c r="P239" i="7"/>
  <c r="O239" i="7"/>
  <c r="K239" i="7"/>
  <c r="F239" i="7"/>
  <c r="M218" i="7"/>
  <c r="M219" i="7" s="1"/>
  <c r="M220" i="7" s="1"/>
  <c r="M221" i="7" s="1"/>
  <c r="H218" i="7"/>
  <c r="H219" i="7" s="1"/>
  <c r="H220" i="7" s="1"/>
  <c r="J97" i="7"/>
  <c r="J98" i="7"/>
  <c r="J99" i="7"/>
  <c r="J100" i="7"/>
  <c r="J96" i="7"/>
  <c r="L96" i="7" s="1"/>
  <c r="E97" i="7"/>
  <c r="E98" i="7"/>
  <c r="E99" i="7"/>
  <c r="E100" i="7"/>
  <c r="E96" i="7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E119" i="7"/>
  <c r="P118" i="7"/>
  <c r="O118" i="7"/>
  <c r="K118" i="7"/>
  <c r="F118" i="7"/>
  <c r="M96" i="7"/>
  <c r="M97" i="7" s="1"/>
  <c r="M98" i="7" s="1"/>
  <c r="H96" i="7"/>
  <c r="H97" i="7" s="1"/>
  <c r="H98" i="7" s="1"/>
  <c r="E210" i="7"/>
  <c r="E89" i="7"/>
  <c r="E180" i="7"/>
  <c r="E59" i="7"/>
  <c r="E150" i="7"/>
  <c r="E119" i="5"/>
  <c r="E89" i="5"/>
  <c r="E59" i="5"/>
  <c r="E29" i="5"/>
  <c r="T300" i="2"/>
  <c r="E300" i="2"/>
  <c r="E270" i="2"/>
  <c r="E210" i="2"/>
  <c r="E180" i="2"/>
  <c r="T120" i="2"/>
  <c r="J89" i="2"/>
  <c r="E90" i="2" s="1"/>
  <c r="E60" i="2"/>
  <c r="E179" i="4"/>
  <c r="E149" i="4"/>
  <c r="E119" i="4"/>
  <c r="E89" i="4"/>
  <c r="E29" i="4"/>
  <c r="C214" i="9"/>
  <c r="C212" i="9"/>
  <c r="C211" i="9"/>
  <c r="E182" i="9"/>
  <c r="E4" i="10"/>
  <c r="G66" i="6"/>
  <c r="G65" i="6"/>
  <c r="E65" i="6"/>
  <c r="E66" i="6"/>
  <c r="E67" i="6"/>
  <c r="E68" i="6"/>
  <c r="E69" i="6"/>
  <c r="E70" i="6"/>
  <c r="E71" i="6"/>
  <c r="E12" i="6"/>
  <c r="E13" i="6"/>
  <c r="E14" i="6"/>
  <c r="E15" i="6"/>
  <c r="E16" i="6"/>
  <c r="E17" i="6"/>
  <c r="E18" i="6"/>
  <c r="E11" i="6"/>
  <c r="E227" i="10"/>
  <c r="E228" i="10"/>
  <c r="E229" i="10"/>
  <c r="E230" i="10"/>
  <c r="E231" i="10"/>
  <c r="E232" i="10"/>
  <c r="E233" i="10"/>
  <c r="E234" i="10"/>
  <c r="E235" i="10"/>
  <c r="E236" i="10"/>
  <c r="E237" i="10"/>
  <c r="E226" i="10"/>
  <c r="E190" i="10"/>
  <c r="E191" i="10"/>
  <c r="E192" i="10"/>
  <c r="E193" i="10"/>
  <c r="E194" i="10"/>
  <c r="E195" i="10"/>
  <c r="E196" i="10"/>
  <c r="E189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25" i="10"/>
  <c r="G125" i="10" s="1"/>
  <c r="G126" i="10" s="1"/>
  <c r="E96" i="10"/>
  <c r="E97" i="10"/>
  <c r="E98" i="10"/>
  <c r="E99" i="10"/>
  <c r="E100" i="10"/>
  <c r="E101" i="10"/>
  <c r="E102" i="10"/>
  <c r="E103" i="10"/>
  <c r="E104" i="10"/>
  <c r="E105" i="10"/>
  <c r="E106" i="10"/>
  <c r="E95" i="10"/>
  <c r="G95" i="10" s="1"/>
  <c r="H65" i="10"/>
  <c r="H66" i="10" s="1"/>
  <c r="E66" i="10"/>
  <c r="E67" i="10"/>
  <c r="E68" i="10"/>
  <c r="E69" i="10"/>
  <c r="E70" i="10"/>
  <c r="E71" i="10"/>
  <c r="E72" i="10"/>
  <c r="E73" i="10"/>
  <c r="E74" i="10"/>
  <c r="E65" i="10"/>
  <c r="G65" i="10" s="1"/>
  <c r="E36" i="10"/>
  <c r="E37" i="10"/>
  <c r="E38" i="10"/>
  <c r="E39" i="10"/>
  <c r="E40" i="10"/>
  <c r="E41" i="10"/>
  <c r="E42" i="10"/>
  <c r="E43" i="10"/>
  <c r="E44" i="10"/>
  <c r="E45" i="10"/>
  <c r="E46" i="10"/>
  <c r="E35" i="10"/>
  <c r="G35" i="10" s="1"/>
  <c r="F88" i="6"/>
  <c r="H65" i="6"/>
  <c r="H66" i="6" s="1"/>
  <c r="F58" i="6"/>
  <c r="F238" i="10"/>
  <c r="F28" i="6"/>
  <c r="F208" i="10"/>
  <c r="F178" i="10"/>
  <c r="F148" i="10"/>
  <c r="H127" i="10"/>
  <c r="H128" i="10" s="1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21" i="9"/>
  <c r="B122" i="9"/>
  <c r="B123" i="9"/>
  <c r="B124" i="9"/>
  <c r="B125" i="9"/>
  <c r="B127" i="9"/>
  <c r="B130" i="9"/>
  <c r="B131" i="9"/>
  <c r="B132" i="9"/>
  <c r="B136" i="9"/>
  <c r="B138" i="9"/>
  <c r="B139" i="9"/>
  <c r="B142" i="9"/>
  <c r="B143" i="9"/>
  <c r="B144" i="9"/>
  <c r="B121" i="9"/>
  <c r="D121" i="9" s="1"/>
  <c r="N30" i="8"/>
  <c r="N31" i="8" s="1"/>
  <c r="N32" i="8" s="1"/>
  <c r="N33" i="8" s="1"/>
  <c r="N34" i="8" s="1"/>
  <c r="N35" i="8" s="1"/>
  <c r="N36" i="8" s="1"/>
  <c r="N37" i="8" s="1"/>
  <c r="N38" i="8" s="1"/>
  <c r="N39" i="8" s="1"/>
  <c r="N29" i="8"/>
  <c r="N28" i="8"/>
  <c r="M30" i="8"/>
  <c r="M31" i="8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29" i="8"/>
  <c r="M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28" i="8"/>
  <c r="J107" i="5"/>
  <c r="J108" i="5"/>
  <c r="J109" i="5"/>
  <c r="J110" i="5"/>
  <c r="J111" i="5"/>
  <c r="J112" i="5"/>
  <c r="J113" i="5"/>
  <c r="J114" i="5"/>
  <c r="J106" i="5"/>
  <c r="E107" i="5"/>
  <c r="B134" i="9" s="1"/>
  <c r="E108" i="5"/>
  <c r="B135" i="9" s="1"/>
  <c r="E109" i="5"/>
  <c r="E110" i="5"/>
  <c r="B137" i="9" s="1"/>
  <c r="E111" i="5"/>
  <c r="E112" i="5"/>
  <c r="E113" i="5"/>
  <c r="B140" i="9" s="1"/>
  <c r="E114" i="5"/>
  <c r="B141" i="9" s="1"/>
  <c r="E106" i="5"/>
  <c r="B133" i="9" s="1"/>
  <c r="P118" i="5"/>
  <c r="O118" i="5"/>
  <c r="K118" i="5"/>
  <c r="F118" i="5"/>
  <c r="L106" i="5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B128" i="9"/>
  <c r="B129" i="9"/>
  <c r="B126" i="9"/>
  <c r="P88" i="5"/>
  <c r="O88" i="5"/>
  <c r="K88" i="5"/>
  <c r="F88" i="5"/>
  <c r="L69" i="5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J37" i="5"/>
  <c r="J38" i="5"/>
  <c r="J39" i="5"/>
  <c r="J40" i="5"/>
  <c r="J41" i="5"/>
  <c r="J42" i="5"/>
  <c r="J43" i="5"/>
  <c r="J36" i="5"/>
  <c r="E37" i="5"/>
  <c r="E38" i="5"/>
  <c r="E39" i="5"/>
  <c r="E40" i="5"/>
  <c r="E41" i="5"/>
  <c r="E42" i="5"/>
  <c r="E43" i="5"/>
  <c r="E36" i="5"/>
  <c r="G36" i="5"/>
  <c r="P58" i="5"/>
  <c r="O58" i="5"/>
  <c r="K58" i="5"/>
  <c r="F58" i="5"/>
  <c r="M36" i="5"/>
  <c r="L36" i="5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H36" i="5"/>
  <c r="H37" i="5" s="1"/>
  <c r="H38" i="5" s="1"/>
  <c r="N6" i="5"/>
  <c r="M6" i="5"/>
  <c r="M7" i="5" s="1"/>
  <c r="M8" i="5" s="1"/>
  <c r="M9" i="5" s="1"/>
  <c r="M10" i="5" s="1"/>
  <c r="M11" i="5" s="1"/>
  <c r="M12" i="5" s="1"/>
  <c r="L6" i="5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J7" i="5"/>
  <c r="J8" i="5"/>
  <c r="J9" i="5"/>
  <c r="J6" i="5"/>
  <c r="I6" i="5"/>
  <c r="H6" i="5"/>
  <c r="H7" i="5" s="1"/>
  <c r="H8" i="5" s="1"/>
  <c r="H9" i="5" s="1"/>
  <c r="H10" i="5" s="1"/>
  <c r="G6" i="5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E7" i="5"/>
  <c r="E8" i="5"/>
  <c r="E9" i="5"/>
  <c r="E6" i="5"/>
  <c r="P28" i="5"/>
  <c r="O28" i="5"/>
  <c r="K28" i="5"/>
  <c r="F28" i="5"/>
  <c r="I91" i="9"/>
  <c r="H91" i="9"/>
  <c r="E91" i="9"/>
  <c r="E28" i="8"/>
  <c r="D28" i="8"/>
  <c r="J341" i="7"/>
  <c r="J342" i="7"/>
  <c r="J343" i="7"/>
  <c r="J344" i="7"/>
  <c r="J345" i="7"/>
  <c r="J346" i="7"/>
  <c r="J347" i="7"/>
  <c r="J348" i="7"/>
  <c r="J340" i="7"/>
  <c r="L340" i="7" s="1"/>
  <c r="E341" i="7"/>
  <c r="E342" i="7"/>
  <c r="E343" i="7"/>
  <c r="E344" i="7"/>
  <c r="E345" i="7"/>
  <c r="B101" i="9" s="1"/>
  <c r="E346" i="7"/>
  <c r="E347" i="7"/>
  <c r="B103" i="9" s="1"/>
  <c r="E348" i="7"/>
  <c r="E340" i="7"/>
  <c r="G340" i="7" s="1"/>
  <c r="P359" i="7"/>
  <c r="O359" i="7"/>
  <c r="K359" i="7"/>
  <c r="F359" i="7"/>
  <c r="M340" i="7"/>
  <c r="M341" i="7" s="1"/>
  <c r="M342" i="7" s="1"/>
  <c r="H340" i="7"/>
  <c r="H341" i="7" s="1"/>
  <c r="H342" i="7" s="1"/>
  <c r="J311" i="7"/>
  <c r="J312" i="7"/>
  <c r="J313" i="7"/>
  <c r="J314" i="7"/>
  <c r="J315" i="7"/>
  <c r="J316" i="7"/>
  <c r="J317" i="7"/>
  <c r="J318" i="7"/>
  <c r="J310" i="7"/>
  <c r="L310" i="7" s="1"/>
  <c r="E318" i="7"/>
  <c r="B104" i="9" s="1"/>
  <c r="E311" i="7"/>
  <c r="B97" i="9" s="1"/>
  <c r="E312" i="7"/>
  <c r="B98" i="9" s="1"/>
  <c r="E313" i="7"/>
  <c r="E314" i="7"/>
  <c r="E315" i="7"/>
  <c r="E316" i="7"/>
  <c r="E317" i="7"/>
  <c r="E310" i="7"/>
  <c r="B96" i="9" s="1"/>
  <c r="P329" i="7"/>
  <c r="O329" i="7"/>
  <c r="K329" i="7"/>
  <c r="F329" i="7"/>
  <c r="H310" i="7"/>
  <c r="H311" i="7" s="1"/>
  <c r="H312" i="7" s="1"/>
  <c r="M310" i="7"/>
  <c r="J280" i="7"/>
  <c r="J281" i="7"/>
  <c r="J282" i="7"/>
  <c r="J283" i="7"/>
  <c r="J284" i="7"/>
  <c r="J285" i="7"/>
  <c r="J286" i="7"/>
  <c r="J287" i="7"/>
  <c r="J279" i="7"/>
  <c r="E280" i="7"/>
  <c r="E281" i="7"/>
  <c r="E282" i="7"/>
  <c r="E283" i="7"/>
  <c r="E284" i="7"/>
  <c r="E285" i="7"/>
  <c r="E286" i="7"/>
  <c r="E287" i="7"/>
  <c r="E279" i="7"/>
  <c r="B99" i="9" l="1"/>
  <c r="B100" i="9"/>
  <c r="B102" i="9"/>
  <c r="G69" i="5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N40" i="8"/>
  <c r="N41" i="8" s="1"/>
  <c r="N42" i="8" s="1"/>
  <c r="N43" i="8" s="1"/>
  <c r="N44" i="8" s="1"/>
  <c r="N45" i="8" s="1"/>
  <c r="N46" i="8" s="1"/>
  <c r="N47" i="8" s="1"/>
  <c r="N48" i="8" s="1"/>
  <c r="N49" i="8" s="1"/>
  <c r="N50" i="8" s="1"/>
  <c r="N51" i="8" s="1"/>
  <c r="G4" i="10"/>
  <c r="B182" i="9"/>
  <c r="D182" i="9" s="1"/>
  <c r="E183" i="9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G36" i="10"/>
  <c r="G96" i="10"/>
  <c r="G66" i="10"/>
  <c r="L218" i="7"/>
  <c r="L219" i="7" s="1"/>
  <c r="L220" i="7" s="1"/>
  <c r="L221" i="7" s="1"/>
  <c r="I218" i="7"/>
  <c r="L222" i="7"/>
  <c r="L223" i="7" s="1"/>
  <c r="L224" i="7" s="1"/>
  <c r="L225" i="7" s="1"/>
  <c r="L226" i="7" s="1"/>
  <c r="L227" i="7" s="1"/>
  <c r="L228" i="7" s="1"/>
  <c r="L229" i="7" s="1"/>
  <c r="L230" i="7" s="1"/>
  <c r="L231" i="7" s="1"/>
  <c r="L232" i="7" s="1"/>
  <c r="L233" i="7" s="1"/>
  <c r="L234" i="7" s="1"/>
  <c r="L235" i="7" s="1"/>
  <c r="L236" i="7" s="1"/>
  <c r="L237" i="7" s="1"/>
  <c r="L238" i="7" s="1"/>
  <c r="L239" i="7" s="1"/>
  <c r="L97" i="7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L118" i="7" s="1"/>
  <c r="L311" i="7"/>
  <c r="G219" i="7"/>
  <c r="G220" i="7" s="1"/>
  <c r="G221" i="7" s="1"/>
  <c r="G222" i="7" s="1"/>
  <c r="G223" i="7" s="1"/>
  <c r="G224" i="7" s="1"/>
  <c r="G225" i="7" s="1"/>
  <c r="G226" i="7" s="1"/>
  <c r="G227" i="7" s="1"/>
  <c r="G228" i="7" s="1"/>
  <c r="G229" i="7" s="1"/>
  <c r="G230" i="7" s="1"/>
  <c r="G231" i="7" s="1"/>
  <c r="G232" i="7" s="1"/>
  <c r="G233" i="7" s="1"/>
  <c r="G234" i="7" s="1"/>
  <c r="G235" i="7" s="1"/>
  <c r="G236" i="7" s="1"/>
  <c r="G237" i="7" s="1"/>
  <c r="G238" i="7" s="1"/>
  <c r="G239" i="7" s="1"/>
  <c r="N221" i="7"/>
  <c r="M222" i="7"/>
  <c r="H221" i="7"/>
  <c r="N219" i="7"/>
  <c r="N220" i="7"/>
  <c r="D29" i="8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E29" i="8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G341" i="7"/>
  <c r="G342" i="7" s="1"/>
  <c r="G343" i="7" s="1"/>
  <c r="G344" i="7" s="1"/>
  <c r="G345" i="7" s="1"/>
  <c r="G346" i="7" s="1"/>
  <c r="G347" i="7" s="1"/>
  <c r="G348" i="7" s="1"/>
  <c r="G349" i="7" s="1"/>
  <c r="G350" i="7" s="1"/>
  <c r="G351" i="7" s="1"/>
  <c r="G352" i="7" s="1"/>
  <c r="G353" i="7" s="1"/>
  <c r="G354" i="7" s="1"/>
  <c r="G355" i="7" s="1"/>
  <c r="G356" i="7" s="1"/>
  <c r="G357" i="7" s="1"/>
  <c r="G358" i="7" s="1"/>
  <c r="G359" i="7" s="1"/>
  <c r="N98" i="7"/>
  <c r="M99" i="7"/>
  <c r="H99" i="7"/>
  <c r="I98" i="7"/>
  <c r="L312" i="7"/>
  <c r="L313" i="7" s="1"/>
  <c r="L314" i="7" s="1"/>
  <c r="L315" i="7" s="1"/>
  <c r="L316" i="7" s="1"/>
  <c r="L317" i="7" s="1"/>
  <c r="L318" i="7" s="1"/>
  <c r="L319" i="7" s="1"/>
  <c r="L320" i="7" s="1"/>
  <c r="L321" i="7" s="1"/>
  <c r="L322" i="7" s="1"/>
  <c r="L323" i="7" s="1"/>
  <c r="L324" i="7" s="1"/>
  <c r="L325" i="7" s="1"/>
  <c r="L326" i="7" s="1"/>
  <c r="L327" i="7" s="1"/>
  <c r="L328" i="7" s="1"/>
  <c r="L329" i="7" s="1"/>
  <c r="L341" i="7"/>
  <c r="L342" i="7" s="1"/>
  <c r="L343" i="7" s="1"/>
  <c r="L344" i="7" s="1"/>
  <c r="L345" i="7" s="1"/>
  <c r="L346" i="7" s="1"/>
  <c r="L347" i="7" s="1"/>
  <c r="L348" i="7" s="1"/>
  <c r="L349" i="7" s="1"/>
  <c r="L350" i="7" s="1"/>
  <c r="L351" i="7" s="1"/>
  <c r="L352" i="7" s="1"/>
  <c r="L353" i="7" s="1"/>
  <c r="L354" i="7" s="1"/>
  <c r="L355" i="7" s="1"/>
  <c r="L356" i="7" s="1"/>
  <c r="L357" i="7" s="1"/>
  <c r="L358" i="7" s="1"/>
  <c r="L359" i="7" s="1"/>
  <c r="G145" i="9"/>
  <c r="C176" i="9"/>
  <c r="C206" i="9"/>
  <c r="C145" i="9"/>
  <c r="D152" i="9"/>
  <c r="D153" i="9" s="1"/>
  <c r="D154" i="9" s="1"/>
  <c r="D155" i="9" s="1"/>
  <c r="D156" i="9" s="1"/>
  <c r="D157" i="9" s="1"/>
  <c r="D158" i="9" s="1"/>
  <c r="D159" i="9" s="1"/>
  <c r="D160" i="9" s="1"/>
  <c r="D161" i="9" s="1"/>
  <c r="D162" i="9" s="1"/>
  <c r="D163" i="9" s="1"/>
  <c r="D164" i="9" s="1"/>
  <c r="D165" i="9" s="1"/>
  <c r="D166" i="9" s="1"/>
  <c r="D167" i="9" s="1"/>
  <c r="D168" i="9" s="1"/>
  <c r="D169" i="9" s="1"/>
  <c r="D170" i="9" s="1"/>
  <c r="E152" i="9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92" i="9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D122" i="9"/>
  <c r="D123" i="9" s="1"/>
  <c r="D124" i="9" s="1"/>
  <c r="D125" i="9" s="1"/>
  <c r="D126" i="9" s="1"/>
  <c r="D127" i="9" s="1"/>
  <c r="D128" i="9" s="1"/>
  <c r="D129" i="9" s="1"/>
  <c r="D130" i="9" s="1"/>
  <c r="D131" i="9" s="1"/>
  <c r="D132" i="9" s="1"/>
  <c r="D133" i="9" s="1"/>
  <c r="D134" i="9" s="1"/>
  <c r="D135" i="9" s="1"/>
  <c r="D136" i="9" s="1"/>
  <c r="D137" i="9" s="1"/>
  <c r="D138" i="9" s="1"/>
  <c r="D139" i="9" s="1"/>
  <c r="D140" i="9" s="1"/>
  <c r="D141" i="9" s="1"/>
  <c r="D142" i="9" s="1"/>
  <c r="D143" i="9" s="1"/>
  <c r="D144" i="9" s="1"/>
  <c r="F145" i="9"/>
  <c r="H121" i="9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92" i="9"/>
  <c r="I121" i="9"/>
  <c r="I122" i="9" s="1"/>
  <c r="I123" i="9" s="1"/>
  <c r="I124" i="9" s="1"/>
  <c r="I125" i="9" s="1"/>
  <c r="I126" i="9" s="1"/>
  <c r="I127" i="9" s="1"/>
  <c r="I128" i="9" s="1"/>
  <c r="I129" i="9" s="1"/>
  <c r="I130" i="9" s="1"/>
  <c r="I131" i="9" s="1"/>
  <c r="I132" i="9" s="1"/>
  <c r="I133" i="9" s="1"/>
  <c r="I134" i="9" s="1"/>
  <c r="I135" i="9" s="1"/>
  <c r="I136" i="9" s="1"/>
  <c r="I137" i="9" s="1"/>
  <c r="I138" i="9" s="1"/>
  <c r="I139" i="9" s="1"/>
  <c r="I140" i="9" s="1"/>
  <c r="I141" i="9" s="1"/>
  <c r="I142" i="9" s="1"/>
  <c r="I143" i="9" s="1"/>
  <c r="I144" i="9" s="1"/>
  <c r="I145" i="9" s="1"/>
  <c r="I92" i="9"/>
  <c r="I93" i="9" s="1"/>
  <c r="I94" i="9" s="1"/>
  <c r="I95" i="9" s="1"/>
  <c r="I96" i="9" s="1"/>
  <c r="I97" i="9" s="1"/>
  <c r="I98" i="9" s="1"/>
  <c r="I99" i="9" s="1"/>
  <c r="I100" i="9" s="1"/>
  <c r="I101" i="9" s="1"/>
  <c r="I102" i="9" s="1"/>
  <c r="I103" i="9" s="1"/>
  <c r="I104" i="9" s="1"/>
  <c r="I105" i="9" s="1"/>
  <c r="I106" i="9" s="1"/>
  <c r="I107" i="9" s="1"/>
  <c r="I108" i="9" s="1"/>
  <c r="I109" i="9" s="1"/>
  <c r="I110" i="9" s="1"/>
  <c r="I111" i="9" s="1"/>
  <c r="I112" i="9" s="1"/>
  <c r="I113" i="9" s="1"/>
  <c r="I114" i="9" s="1"/>
  <c r="I115" i="9" s="1"/>
  <c r="D92" i="9"/>
  <c r="B145" i="9"/>
  <c r="E121" i="9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E140" i="9" s="1"/>
  <c r="E141" i="9" s="1"/>
  <c r="E142" i="9" s="1"/>
  <c r="E143" i="9" s="1"/>
  <c r="E144" i="9" s="1"/>
  <c r="E145" i="9" s="1"/>
  <c r="H67" i="6"/>
  <c r="I65" i="6"/>
  <c r="G67" i="6"/>
  <c r="G226" i="10"/>
  <c r="G227" i="10" s="1"/>
  <c r="G228" i="10" s="1"/>
  <c r="G229" i="10" s="1"/>
  <c r="G230" i="10" s="1"/>
  <c r="G231" i="10" s="1"/>
  <c r="G232" i="10" s="1"/>
  <c r="G233" i="10" s="1"/>
  <c r="G234" i="10" s="1"/>
  <c r="G235" i="10" s="1"/>
  <c r="G236" i="10" s="1"/>
  <c r="G237" i="10" s="1"/>
  <c r="G238" i="10" s="1"/>
  <c r="G189" i="10"/>
  <c r="G190" i="10" s="1"/>
  <c r="G191" i="10" s="1"/>
  <c r="G192" i="10" s="1"/>
  <c r="G193" i="10" s="1"/>
  <c r="G194" i="10" s="1"/>
  <c r="G195" i="10" s="1"/>
  <c r="G196" i="10" s="1"/>
  <c r="G197" i="10" s="1"/>
  <c r="G198" i="10" s="1"/>
  <c r="G199" i="10" s="1"/>
  <c r="G200" i="10" s="1"/>
  <c r="G201" i="10" s="1"/>
  <c r="G202" i="10" s="1"/>
  <c r="G203" i="10" s="1"/>
  <c r="G204" i="10" s="1"/>
  <c r="G205" i="10" s="1"/>
  <c r="G206" i="10" s="1"/>
  <c r="G207" i="10" s="1"/>
  <c r="G208" i="10" s="1"/>
  <c r="H189" i="10"/>
  <c r="G160" i="10"/>
  <c r="G161" i="10" s="1"/>
  <c r="G162" i="10" s="1"/>
  <c r="G163" i="10" s="1"/>
  <c r="G164" i="10" s="1"/>
  <c r="G165" i="10" s="1"/>
  <c r="G166" i="10" s="1"/>
  <c r="G167" i="10" s="1"/>
  <c r="G168" i="10" s="1"/>
  <c r="G169" i="10" s="1"/>
  <c r="G170" i="10" s="1"/>
  <c r="G171" i="10" s="1"/>
  <c r="G172" i="10" s="1"/>
  <c r="G173" i="10" s="1"/>
  <c r="G174" i="10" s="1"/>
  <c r="G175" i="10" s="1"/>
  <c r="G176" i="10" s="1"/>
  <c r="G177" i="10" s="1"/>
  <c r="G178" i="10" s="1"/>
  <c r="G127" i="10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I126" i="10"/>
  <c r="H129" i="10"/>
  <c r="C115" i="9"/>
  <c r="G106" i="5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37" i="5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I36" i="5"/>
  <c r="N36" i="5"/>
  <c r="M37" i="5"/>
  <c r="H39" i="5"/>
  <c r="N8" i="5"/>
  <c r="N7" i="5"/>
  <c r="N9" i="5"/>
  <c r="N10" i="5"/>
  <c r="I8" i="5"/>
  <c r="I7" i="5"/>
  <c r="I10" i="5"/>
  <c r="N12" i="5"/>
  <c r="M13" i="5"/>
  <c r="I9" i="5"/>
  <c r="N11" i="5"/>
  <c r="H11" i="5"/>
  <c r="N340" i="7"/>
  <c r="I340" i="7"/>
  <c r="H343" i="7"/>
  <c r="M343" i="7"/>
  <c r="G310" i="7"/>
  <c r="G311" i="7" s="1"/>
  <c r="G312" i="7" s="1"/>
  <c r="G313" i="7" s="1"/>
  <c r="G314" i="7" s="1"/>
  <c r="G315" i="7" s="1"/>
  <c r="G316" i="7" s="1"/>
  <c r="G317" i="7" s="1"/>
  <c r="G318" i="7" s="1"/>
  <c r="G319" i="7" s="1"/>
  <c r="G320" i="7" s="1"/>
  <c r="G321" i="7" s="1"/>
  <c r="G322" i="7" s="1"/>
  <c r="G323" i="7" s="1"/>
  <c r="G324" i="7" s="1"/>
  <c r="G325" i="7" s="1"/>
  <c r="G326" i="7" s="1"/>
  <c r="G327" i="7" s="1"/>
  <c r="G328" i="7" s="1"/>
  <c r="G329" i="7" s="1"/>
  <c r="N310" i="7"/>
  <c r="M311" i="7"/>
  <c r="H313" i="7"/>
  <c r="D171" i="9" l="1"/>
  <c r="D172" i="9" s="1"/>
  <c r="D173" i="9" s="1"/>
  <c r="D174" i="9" s="1"/>
  <c r="D175" i="9" s="1"/>
  <c r="E170" i="9"/>
  <c r="E171" i="9" s="1"/>
  <c r="E172" i="9" s="1"/>
  <c r="E173" i="9" s="1"/>
  <c r="E174" i="9" s="1"/>
  <c r="E175" i="9" s="1"/>
  <c r="E176" i="9" s="1"/>
  <c r="B178" i="9" s="1"/>
  <c r="I219" i="7"/>
  <c r="I220" i="7"/>
  <c r="I341" i="7"/>
  <c r="I342" i="7"/>
  <c r="H222" i="7"/>
  <c r="I221" i="7"/>
  <c r="N222" i="7"/>
  <c r="M223" i="7"/>
  <c r="N342" i="7"/>
  <c r="N341" i="7"/>
  <c r="H100" i="7"/>
  <c r="I99" i="7"/>
  <c r="M100" i="7"/>
  <c r="N99" i="7"/>
  <c r="B117" i="9"/>
  <c r="B147" i="9"/>
  <c r="I128" i="10"/>
  <c r="G68" i="6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I67" i="6"/>
  <c r="H68" i="6"/>
  <c r="I66" i="6"/>
  <c r="G40" i="6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11" i="6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H190" i="10"/>
  <c r="I189" i="10"/>
  <c r="H160" i="10"/>
  <c r="I127" i="10"/>
  <c r="H130" i="10"/>
  <c r="I129" i="10"/>
  <c r="M69" i="5"/>
  <c r="I38" i="5"/>
  <c r="I37" i="5"/>
  <c r="I39" i="5"/>
  <c r="H40" i="5"/>
  <c r="M38" i="5"/>
  <c r="N37" i="5"/>
  <c r="I11" i="5"/>
  <c r="H12" i="5"/>
  <c r="N13" i="5"/>
  <c r="M14" i="5"/>
  <c r="M344" i="7"/>
  <c r="N343" i="7"/>
  <c r="I343" i="7"/>
  <c r="H344" i="7"/>
  <c r="I311" i="7"/>
  <c r="I312" i="7"/>
  <c r="I310" i="7"/>
  <c r="I313" i="7"/>
  <c r="H314" i="7"/>
  <c r="N311" i="7"/>
  <c r="M312" i="7"/>
  <c r="M224" i="7" l="1"/>
  <c r="N223" i="7"/>
  <c r="I222" i="7"/>
  <c r="H223" i="7"/>
  <c r="M101" i="7"/>
  <c r="N100" i="7"/>
  <c r="I100" i="7"/>
  <c r="H101" i="7"/>
  <c r="H69" i="6"/>
  <c r="I68" i="6"/>
  <c r="H191" i="10"/>
  <c r="I190" i="10"/>
  <c r="I160" i="10"/>
  <c r="H161" i="10"/>
  <c r="I130" i="10"/>
  <c r="H131" i="10"/>
  <c r="H69" i="5"/>
  <c r="N69" i="5"/>
  <c r="M70" i="5"/>
  <c r="M39" i="5"/>
  <c r="N38" i="5"/>
  <c r="H41" i="5"/>
  <c r="I40" i="5"/>
  <c r="N14" i="5"/>
  <c r="M15" i="5"/>
  <c r="I12" i="5"/>
  <c r="H13" i="5"/>
  <c r="H345" i="7"/>
  <c r="I344" i="7"/>
  <c r="N344" i="7"/>
  <c r="M345" i="7"/>
  <c r="N312" i="7"/>
  <c r="M313" i="7"/>
  <c r="H315" i="7"/>
  <c r="I314" i="7"/>
  <c r="I223" i="7" l="1"/>
  <c r="H224" i="7"/>
  <c r="N224" i="7"/>
  <c r="M225" i="7"/>
  <c r="H102" i="7"/>
  <c r="I101" i="7"/>
  <c r="N101" i="7"/>
  <c r="M102" i="7"/>
  <c r="H70" i="6"/>
  <c r="I69" i="6"/>
  <c r="H40" i="6"/>
  <c r="H192" i="10"/>
  <c r="I191" i="10"/>
  <c r="H162" i="10"/>
  <c r="I161" i="10"/>
  <c r="H132" i="10"/>
  <c r="I131" i="10"/>
  <c r="M106" i="5"/>
  <c r="N70" i="5"/>
  <c r="M71" i="5"/>
  <c r="I69" i="5"/>
  <c r="H70" i="5"/>
  <c r="I41" i="5"/>
  <c r="H42" i="5"/>
  <c r="N39" i="5"/>
  <c r="M40" i="5"/>
  <c r="H14" i="5"/>
  <c r="I13" i="5"/>
  <c r="M16" i="5"/>
  <c r="N15" i="5"/>
  <c r="N345" i="7"/>
  <c r="M346" i="7"/>
  <c r="I345" i="7"/>
  <c r="H346" i="7"/>
  <c r="I315" i="7"/>
  <c r="H316" i="7"/>
  <c r="N313" i="7"/>
  <c r="M314" i="7"/>
  <c r="N225" i="7" l="1"/>
  <c r="M226" i="7"/>
  <c r="I224" i="7"/>
  <c r="H225" i="7"/>
  <c r="M103" i="7"/>
  <c r="N102" i="7"/>
  <c r="H103" i="7"/>
  <c r="I102" i="7"/>
  <c r="I70" i="6"/>
  <c r="H71" i="6"/>
  <c r="I40" i="6"/>
  <c r="H41" i="6"/>
  <c r="H11" i="6"/>
  <c r="I192" i="10"/>
  <c r="H193" i="10"/>
  <c r="H163" i="10"/>
  <c r="I162" i="10"/>
  <c r="I132" i="10"/>
  <c r="H133" i="10"/>
  <c r="N106" i="5"/>
  <c r="M107" i="5"/>
  <c r="H71" i="5"/>
  <c r="I70" i="5"/>
  <c r="M72" i="5"/>
  <c r="N71" i="5"/>
  <c r="M41" i="5"/>
  <c r="N40" i="5"/>
  <c r="H43" i="5"/>
  <c r="I42" i="5"/>
  <c r="N16" i="5"/>
  <c r="M17" i="5"/>
  <c r="I14" i="5"/>
  <c r="H15" i="5"/>
  <c r="I346" i="7"/>
  <c r="H347" i="7"/>
  <c r="N346" i="7"/>
  <c r="M347" i="7"/>
  <c r="N314" i="7"/>
  <c r="M315" i="7"/>
  <c r="H317" i="7"/>
  <c r="I316" i="7"/>
  <c r="H226" i="7" l="1"/>
  <c r="I225" i="7"/>
  <c r="M227" i="7"/>
  <c r="N226" i="7"/>
  <c r="I103" i="7"/>
  <c r="H104" i="7"/>
  <c r="M104" i="7"/>
  <c r="N103" i="7"/>
  <c r="I71" i="6"/>
  <c r="H72" i="6"/>
  <c r="H42" i="6"/>
  <c r="I41" i="6"/>
  <c r="H12" i="6"/>
  <c r="I11" i="6"/>
  <c r="I193" i="10"/>
  <c r="H194" i="10"/>
  <c r="I163" i="10"/>
  <c r="H164" i="10"/>
  <c r="H134" i="10"/>
  <c r="I133" i="10"/>
  <c r="H106" i="5"/>
  <c r="M108" i="5"/>
  <c r="N107" i="5"/>
  <c r="N72" i="5"/>
  <c r="M73" i="5"/>
  <c r="I71" i="5"/>
  <c r="H72" i="5"/>
  <c r="I43" i="5"/>
  <c r="H44" i="5"/>
  <c r="M42" i="5"/>
  <c r="N41" i="5"/>
  <c r="H16" i="5"/>
  <c r="I15" i="5"/>
  <c r="N17" i="5"/>
  <c r="M18" i="5"/>
  <c r="M348" i="7"/>
  <c r="N347" i="7"/>
  <c r="H348" i="7"/>
  <c r="I347" i="7"/>
  <c r="H318" i="7"/>
  <c r="I317" i="7"/>
  <c r="M316" i="7"/>
  <c r="N315" i="7"/>
  <c r="H109" i="6" l="1"/>
  <c r="N227" i="7"/>
  <c r="M228" i="7"/>
  <c r="H227" i="7"/>
  <c r="I226" i="7"/>
  <c r="M105" i="7"/>
  <c r="N104" i="7"/>
  <c r="H105" i="7"/>
  <c r="I104" i="7"/>
  <c r="I72" i="6"/>
  <c r="H73" i="6"/>
  <c r="I42" i="6"/>
  <c r="H43" i="6"/>
  <c r="I12" i="6"/>
  <c r="H13" i="6"/>
  <c r="H195" i="10"/>
  <c r="I194" i="10"/>
  <c r="H165" i="10"/>
  <c r="I164" i="10"/>
  <c r="H135" i="10"/>
  <c r="I134" i="10"/>
  <c r="M109" i="5"/>
  <c r="N108" i="5"/>
  <c r="I106" i="5"/>
  <c r="H107" i="5"/>
  <c r="H73" i="5"/>
  <c r="I72" i="5"/>
  <c r="N73" i="5"/>
  <c r="M74" i="5"/>
  <c r="M43" i="5"/>
  <c r="N42" i="5"/>
  <c r="H45" i="5"/>
  <c r="I44" i="5"/>
  <c r="M19" i="5"/>
  <c r="N18" i="5"/>
  <c r="I16" i="5"/>
  <c r="H17" i="5"/>
  <c r="I348" i="7"/>
  <c r="H349" i="7"/>
  <c r="M349" i="7"/>
  <c r="N348" i="7"/>
  <c r="N316" i="7"/>
  <c r="M317" i="7"/>
  <c r="H319" i="7"/>
  <c r="I318" i="7"/>
  <c r="H110" i="6" l="1"/>
  <c r="I109" i="6"/>
  <c r="H228" i="7"/>
  <c r="I227" i="7"/>
  <c r="N228" i="7"/>
  <c r="M229" i="7"/>
  <c r="I105" i="7"/>
  <c r="H106" i="7"/>
  <c r="M106" i="7"/>
  <c r="N105" i="7"/>
  <c r="I73" i="6"/>
  <c r="H74" i="6"/>
  <c r="I43" i="6"/>
  <c r="H44" i="6"/>
  <c r="H226" i="10"/>
  <c r="I13" i="6"/>
  <c r="H14" i="6"/>
  <c r="H196" i="10"/>
  <c r="I195" i="10"/>
  <c r="H166" i="10"/>
  <c r="I165" i="10"/>
  <c r="H136" i="10"/>
  <c r="I135" i="10"/>
  <c r="I107" i="5"/>
  <c r="H108" i="5"/>
  <c r="M110" i="5"/>
  <c r="N109" i="5"/>
  <c r="N74" i="5"/>
  <c r="M75" i="5"/>
  <c r="I73" i="5"/>
  <c r="H74" i="5"/>
  <c r="I45" i="5"/>
  <c r="H46" i="5"/>
  <c r="M44" i="5"/>
  <c r="N43" i="5"/>
  <c r="I17" i="5"/>
  <c r="H18" i="5"/>
  <c r="N19" i="5"/>
  <c r="M20" i="5"/>
  <c r="M350" i="7"/>
  <c r="N349" i="7"/>
  <c r="H350" i="7"/>
  <c r="I349" i="7"/>
  <c r="N317" i="7"/>
  <c r="M318" i="7"/>
  <c r="H320" i="7"/>
  <c r="I319" i="7"/>
  <c r="I110" i="6" l="1"/>
  <c r="H111" i="6"/>
  <c r="N229" i="7"/>
  <c r="M230" i="7"/>
  <c r="I228" i="7"/>
  <c r="H229" i="7"/>
  <c r="M107" i="7"/>
  <c r="N106" i="7"/>
  <c r="I106" i="7"/>
  <c r="H107" i="7"/>
  <c r="I74" i="6"/>
  <c r="H75" i="6"/>
  <c r="I44" i="6"/>
  <c r="H45" i="6"/>
  <c r="I226" i="10"/>
  <c r="H227" i="10"/>
  <c r="I14" i="6"/>
  <c r="H15" i="6"/>
  <c r="H197" i="10"/>
  <c r="I196" i="10"/>
  <c r="I166" i="10"/>
  <c r="H167" i="10"/>
  <c r="H137" i="10"/>
  <c r="I136" i="10"/>
  <c r="M111" i="5"/>
  <c r="N110" i="5"/>
  <c r="H109" i="5"/>
  <c r="I108" i="5"/>
  <c r="H75" i="5"/>
  <c r="I74" i="5"/>
  <c r="M76" i="5"/>
  <c r="N75" i="5"/>
  <c r="N44" i="5"/>
  <c r="M45" i="5"/>
  <c r="H47" i="5"/>
  <c r="I46" i="5"/>
  <c r="M21" i="5"/>
  <c r="N20" i="5"/>
  <c r="H19" i="5"/>
  <c r="I18" i="5"/>
  <c r="I350" i="7"/>
  <c r="H351" i="7"/>
  <c r="N350" i="7"/>
  <c r="M351" i="7"/>
  <c r="I320" i="7"/>
  <c r="H321" i="7"/>
  <c r="M319" i="7"/>
  <c r="N318" i="7"/>
  <c r="H112" i="6" l="1"/>
  <c r="I111" i="6"/>
  <c r="I229" i="7"/>
  <c r="H230" i="7"/>
  <c r="M231" i="7"/>
  <c r="N230" i="7"/>
  <c r="I107" i="7"/>
  <c r="H108" i="7"/>
  <c r="M108" i="7"/>
  <c r="N107" i="7"/>
  <c r="I75" i="6"/>
  <c r="H76" i="6"/>
  <c r="H46" i="6"/>
  <c r="I45" i="6"/>
  <c r="H228" i="10"/>
  <c r="I227" i="10"/>
  <c r="I15" i="6"/>
  <c r="H16" i="6"/>
  <c r="H198" i="10"/>
  <c r="I197" i="10"/>
  <c r="H168" i="10"/>
  <c r="I167" i="10"/>
  <c r="I137" i="10"/>
  <c r="H138" i="10"/>
  <c r="I109" i="5"/>
  <c r="H110" i="5"/>
  <c r="M112" i="5"/>
  <c r="N111" i="5"/>
  <c r="M77" i="5"/>
  <c r="N76" i="5"/>
  <c r="I75" i="5"/>
  <c r="H76" i="5"/>
  <c r="I47" i="5"/>
  <c r="H48" i="5"/>
  <c r="N45" i="5"/>
  <c r="M46" i="5"/>
  <c r="H20" i="5"/>
  <c r="I19" i="5"/>
  <c r="N21" i="5"/>
  <c r="M22" i="5"/>
  <c r="M352" i="7"/>
  <c r="N351" i="7"/>
  <c r="I351" i="7"/>
  <c r="H352" i="7"/>
  <c r="N319" i="7"/>
  <c r="M320" i="7"/>
  <c r="H322" i="7"/>
  <c r="I321" i="7"/>
  <c r="H113" i="6" l="1"/>
  <c r="I112" i="6"/>
  <c r="N231" i="7"/>
  <c r="M232" i="7"/>
  <c r="I230" i="7"/>
  <c r="H231" i="7"/>
  <c r="N108" i="7"/>
  <c r="M109" i="7"/>
  <c r="H109" i="7"/>
  <c r="I108" i="7"/>
  <c r="I76" i="6"/>
  <c r="H77" i="6"/>
  <c r="H47" i="6"/>
  <c r="I46" i="6"/>
  <c r="H229" i="10"/>
  <c r="I228" i="10"/>
  <c r="I16" i="6"/>
  <c r="H17" i="6"/>
  <c r="H199" i="10"/>
  <c r="I198" i="10"/>
  <c r="I168" i="10"/>
  <c r="H169" i="10"/>
  <c r="I138" i="10"/>
  <c r="H139" i="10"/>
  <c r="N112" i="5"/>
  <c r="M113" i="5"/>
  <c r="I110" i="5"/>
  <c r="H111" i="5"/>
  <c r="H77" i="5"/>
  <c r="I76" i="5"/>
  <c r="N77" i="5"/>
  <c r="M78" i="5"/>
  <c r="M47" i="5"/>
  <c r="N46" i="5"/>
  <c r="H49" i="5"/>
  <c r="I48" i="5"/>
  <c r="M23" i="5"/>
  <c r="N22" i="5"/>
  <c r="I20" i="5"/>
  <c r="H21" i="5"/>
  <c r="H353" i="7"/>
  <c r="I352" i="7"/>
  <c r="M353" i="7"/>
  <c r="N352" i="7"/>
  <c r="I322" i="7"/>
  <c r="H323" i="7"/>
  <c r="M321" i="7"/>
  <c r="N320" i="7"/>
  <c r="H114" i="6" l="1"/>
  <c r="I113" i="6"/>
  <c r="H232" i="7"/>
  <c r="I231" i="7"/>
  <c r="M233" i="7"/>
  <c r="N232" i="7"/>
  <c r="I109" i="7"/>
  <c r="H110" i="7"/>
  <c r="M110" i="7"/>
  <c r="N109" i="7"/>
  <c r="I77" i="6"/>
  <c r="H78" i="6"/>
  <c r="H48" i="6"/>
  <c r="I47" i="6"/>
  <c r="H230" i="10"/>
  <c r="I229" i="10"/>
  <c r="H18" i="6"/>
  <c r="I17" i="6"/>
  <c r="H200" i="10"/>
  <c r="I199" i="10"/>
  <c r="H170" i="10"/>
  <c r="I169" i="10"/>
  <c r="H140" i="10"/>
  <c r="I139" i="10"/>
  <c r="I111" i="5"/>
  <c r="H112" i="5"/>
  <c r="M114" i="5"/>
  <c r="N113" i="5"/>
  <c r="M79" i="5"/>
  <c r="N78" i="5"/>
  <c r="I77" i="5"/>
  <c r="H78" i="5"/>
  <c r="I49" i="5"/>
  <c r="H50" i="5"/>
  <c r="N47" i="5"/>
  <c r="M48" i="5"/>
  <c r="I21" i="5"/>
  <c r="H22" i="5"/>
  <c r="M24" i="5"/>
  <c r="N23" i="5"/>
  <c r="M354" i="7"/>
  <c r="N353" i="7"/>
  <c r="I353" i="7"/>
  <c r="H354" i="7"/>
  <c r="M322" i="7"/>
  <c r="N321" i="7"/>
  <c r="H324" i="7"/>
  <c r="I323" i="7"/>
  <c r="I114" i="6" l="1"/>
  <c r="H115" i="6"/>
  <c r="N233" i="7"/>
  <c r="M234" i="7"/>
  <c r="I232" i="7"/>
  <c r="H233" i="7"/>
  <c r="M111" i="7"/>
  <c r="N110" i="7"/>
  <c r="H111" i="7"/>
  <c r="I110" i="7"/>
  <c r="I78" i="6"/>
  <c r="H79" i="6"/>
  <c r="I48" i="6"/>
  <c r="H49" i="6"/>
  <c r="I230" i="10"/>
  <c r="H231" i="10"/>
  <c r="H19" i="6"/>
  <c r="I18" i="6"/>
  <c r="I200" i="10"/>
  <c r="H201" i="10"/>
  <c r="I170" i="10"/>
  <c r="H171" i="10"/>
  <c r="I140" i="10"/>
  <c r="H141" i="10"/>
  <c r="M115" i="5"/>
  <c r="N114" i="5"/>
  <c r="I112" i="5"/>
  <c r="H113" i="5"/>
  <c r="H79" i="5"/>
  <c r="I78" i="5"/>
  <c r="N79" i="5"/>
  <c r="M80" i="5"/>
  <c r="N48" i="5"/>
  <c r="M49" i="5"/>
  <c r="H51" i="5"/>
  <c r="I50" i="5"/>
  <c r="N24" i="5"/>
  <c r="M25" i="5"/>
  <c r="I22" i="5"/>
  <c r="H23" i="5"/>
  <c r="I354" i="7"/>
  <c r="H355" i="7"/>
  <c r="M355" i="7"/>
  <c r="N354" i="7"/>
  <c r="I324" i="7"/>
  <c r="H325" i="7"/>
  <c r="M323" i="7"/>
  <c r="N322" i="7"/>
  <c r="H116" i="6" l="1"/>
  <c r="I115" i="6"/>
  <c r="H234" i="7"/>
  <c r="I233" i="7"/>
  <c r="M235" i="7"/>
  <c r="N234" i="7"/>
  <c r="I111" i="7"/>
  <c r="H112" i="7"/>
  <c r="M112" i="7"/>
  <c r="N111" i="7"/>
  <c r="H80" i="6"/>
  <c r="I79" i="6"/>
  <c r="I49" i="6"/>
  <c r="H50" i="6"/>
  <c r="H232" i="10"/>
  <c r="I231" i="10"/>
  <c r="H20" i="6"/>
  <c r="I19" i="6"/>
  <c r="H202" i="10"/>
  <c r="I201" i="10"/>
  <c r="H172" i="10"/>
  <c r="I171" i="10"/>
  <c r="H142" i="10"/>
  <c r="I141" i="10"/>
  <c r="H114" i="5"/>
  <c r="I113" i="5"/>
  <c r="N115" i="5"/>
  <c r="M116" i="5"/>
  <c r="M81" i="5"/>
  <c r="N80" i="5"/>
  <c r="I79" i="5"/>
  <c r="H80" i="5"/>
  <c r="I51" i="5"/>
  <c r="H52" i="5"/>
  <c r="N49" i="5"/>
  <c r="M50" i="5"/>
  <c r="I23" i="5"/>
  <c r="H24" i="5"/>
  <c r="M26" i="5"/>
  <c r="N25" i="5"/>
  <c r="N355" i="7"/>
  <c r="M356" i="7"/>
  <c r="H356" i="7"/>
  <c r="I355" i="7"/>
  <c r="N323" i="7"/>
  <c r="M324" i="7"/>
  <c r="H326" i="7"/>
  <c r="I325" i="7"/>
  <c r="H117" i="6" l="1"/>
  <c r="I116" i="6"/>
  <c r="M236" i="7"/>
  <c r="N235" i="7"/>
  <c r="I234" i="7"/>
  <c r="H235" i="7"/>
  <c r="M113" i="7"/>
  <c r="N112" i="7"/>
  <c r="H113" i="7"/>
  <c r="I112" i="7"/>
  <c r="H81" i="6"/>
  <c r="I80" i="6"/>
  <c r="H51" i="6"/>
  <c r="I50" i="6"/>
  <c r="H233" i="10"/>
  <c r="I232" i="10"/>
  <c r="I20" i="6"/>
  <c r="H21" i="6"/>
  <c r="I202" i="10"/>
  <c r="H203" i="10"/>
  <c r="H173" i="10"/>
  <c r="I172" i="10"/>
  <c r="H143" i="10"/>
  <c r="I142" i="10"/>
  <c r="M117" i="5"/>
  <c r="N116" i="5"/>
  <c r="H115" i="5"/>
  <c r="I114" i="5"/>
  <c r="H81" i="5"/>
  <c r="I80" i="5"/>
  <c r="N81" i="5"/>
  <c r="M82" i="5"/>
  <c r="M51" i="5"/>
  <c r="N50" i="5"/>
  <c r="I52" i="5"/>
  <c r="H53" i="5"/>
  <c r="M27" i="5"/>
  <c r="N26" i="5"/>
  <c r="H25" i="5"/>
  <c r="I24" i="5"/>
  <c r="I356" i="7"/>
  <c r="H357" i="7"/>
  <c r="M357" i="7"/>
  <c r="N356" i="7"/>
  <c r="I326" i="7"/>
  <c r="H327" i="7"/>
  <c r="M325" i="7"/>
  <c r="N324" i="7"/>
  <c r="H118" i="6" l="1"/>
  <c r="I118" i="6" s="1"/>
  <c r="I117" i="6"/>
  <c r="I235" i="7"/>
  <c r="H236" i="7"/>
  <c r="N236" i="7"/>
  <c r="M237" i="7"/>
  <c r="I113" i="7"/>
  <c r="H114" i="7"/>
  <c r="M114" i="7"/>
  <c r="N113" i="7"/>
  <c r="H82" i="6"/>
  <c r="I81" i="6"/>
  <c r="I51" i="6"/>
  <c r="H52" i="6"/>
  <c r="H234" i="10"/>
  <c r="I233" i="10"/>
  <c r="H22" i="6"/>
  <c r="I21" i="6"/>
  <c r="H204" i="10"/>
  <c r="I203" i="10"/>
  <c r="H174" i="10"/>
  <c r="I173" i="10"/>
  <c r="H144" i="10"/>
  <c r="I143" i="10"/>
  <c r="I115" i="5"/>
  <c r="H116" i="5"/>
  <c r="N117" i="5"/>
  <c r="M118" i="5"/>
  <c r="N118" i="5" s="1"/>
  <c r="N82" i="5"/>
  <c r="M83" i="5"/>
  <c r="I81" i="5"/>
  <c r="H82" i="5"/>
  <c r="I53" i="5"/>
  <c r="H54" i="5"/>
  <c r="M52" i="5"/>
  <c r="N51" i="5"/>
  <c r="I25" i="5"/>
  <c r="H26" i="5"/>
  <c r="N27" i="5"/>
  <c r="M28" i="5"/>
  <c r="N28" i="5" s="1"/>
  <c r="M358" i="7"/>
  <c r="N357" i="7"/>
  <c r="H358" i="7"/>
  <c r="I357" i="7"/>
  <c r="N325" i="7"/>
  <c r="M326" i="7"/>
  <c r="H328" i="7"/>
  <c r="I327" i="7"/>
  <c r="N237" i="7" l="1"/>
  <c r="M238" i="7"/>
  <c r="H237" i="7"/>
  <c r="I236" i="7"/>
  <c r="M115" i="7"/>
  <c r="N114" i="7"/>
  <c r="H115" i="7"/>
  <c r="I114" i="7"/>
  <c r="I82" i="6"/>
  <c r="H83" i="6"/>
  <c r="I52" i="6"/>
  <c r="H53" i="6"/>
  <c r="I234" i="10"/>
  <c r="H235" i="10"/>
  <c r="I22" i="6"/>
  <c r="H23" i="6"/>
  <c r="I204" i="10"/>
  <c r="H205" i="10"/>
  <c r="I174" i="10"/>
  <c r="H175" i="10"/>
  <c r="I144" i="10"/>
  <c r="H145" i="10"/>
  <c r="H117" i="5"/>
  <c r="I116" i="5"/>
  <c r="I82" i="5"/>
  <c r="H83" i="5"/>
  <c r="M84" i="5"/>
  <c r="N83" i="5"/>
  <c r="N52" i="5"/>
  <c r="M53" i="5"/>
  <c r="H55" i="5"/>
  <c r="I54" i="5"/>
  <c r="H27" i="5"/>
  <c r="I26" i="5"/>
  <c r="I358" i="7"/>
  <c r="H359" i="7"/>
  <c r="I359" i="7" s="1"/>
  <c r="N358" i="7"/>
  <c r="M359" i="7"/>
  <c r="N359" i="7" s="1"/>
  <c r="I328" i="7"/>
  <c r="H329" i="7"/>
  <c r="I329" i="7" s="1"/>
  <c r="N326" i="7"/>
  <c r="M327" i="7"/>
  <c r="I237" i="7" l="1"/>
  <c r="H238" i="7"/>
  <c r="M239" i="7"/>
  <c r="N239" i="7" s="1"/>
  <c r="N238" i="7"/>
  <c r="I115" i="7"/>
  <c r="H116" i="7"/>
  <c r="M116" i="7"/>
  <c r="N115" i="7"/>
  <c r="H84" i="6"/>
  <c r="I83" i="6"/>
  <c r="I53" i="6"/>
  <c r="H54" i="6"/>
  <c r="H236" i="10"/>
  <c r="I235" i="10"/>
  <c r="H24" i="6"/>
  <c r="I23" i="6"/>
  <c r="H206" i="10"/>
  <c r="I205" i="10"/>
  <c r="H176" i="10"/>
  <c r="I175" i="10"/>
  <c r="H146" i="10"/>
  <c r="I145" i="10"/>
  <c r="I117" i="5"/>
  <c r="H118" i="5"/>
  <c r="I118" i="5" s="1"/>
  <c r="M85" i="5"/>
  <c r="N84" i="5"/>
  <c r="I83" i="5"/>
  <c r="H84" i="5"/>
  <c r="I55" i="5"/>
  <c r="H56" i="5"/>
  <c r="M54" i="5"/>
  <c r="N53" i="5"/>
  <c r="I27" i="5"/>
  <c r="H28" i="5"/>
  <c r="I28" i="5" s="1"/>
  <c r="N327" i="7"/>
  <c r="M328" i="7"/>
  <c r="I238" i="7" l="1"/>
  <c r="H239" i="7"/>
  <c r="I239" i="7" s="1"/>
  <c r="H117" i="7"/>
  <c r="I116" i="7"/>
  <c r="M117" i="7"/>
  <c r="N116" i="7"/>
  <c r="I84" i="6"/>
  <c r="H85" i="6"/>
  <c r="H55" i="6"/>
  <c r="I54" i="6"/>
  <c r="I236" i="10"/>
  <c r="H237" i="10"/>
  <c r="I24" i="6"/>
  <c r="H25" i="6"/>
  <c r="I206" i="10"/>
  <c r="H207" i="10"/>
  <c r="I176" i="10"/>
  <c r="H177" i="10"/>
  <c r="I146" i="10"/>
  <c r="H147" i="10"/>
  <c r="H85" i="5"/>
  <c r="I84" i="5"/>
  <c r="N85" i="5"/>
  <c r="M86" i="5"/>
  <c r="M55" i="5"/>
  <c r="N54" i="5"/>
  <c r="I56" i="5"/>
  <c r="H57" i="5"/>
  <c r="M329" i="7"/>
  <c r="N329" i="7" s="1"/>
  <c r="N328" i="7"/>
  <c r="M118" i="7" l="1"/>
  <c r="N118" i="7" s="1"/>
  <c r="N117" i="7"/>
  <c r="I117" i="7"/>
  <c r="H118" i="7"/>
  <c r="I118" i="7" s="1"/>
  <c r="I85" i="6"/>
  <c r="H86" i="6"/>
  <c r="I55" i="6"/>
  <c r="H56" i="6"/>
  <c r="H238" i="10"/>
  <c r="I238" i="10" s="1"/>
  <c r="I237" i="10"/>
  <c r="I25" i="6"/>
  <c r="H26" i="6"/>
  <c r="H208" i="10"/>
  <c r="I208" i="10" s="1"/>
  <c r="I207" i="10"/>
  <c r="H178" i="10"/>
  <c r="I178" i="10" s="1"/>
  <c r="I177" i="10"/>
  <c r="H148" i="10"/>
  <c r="I148" i="10" s="1"/>
  <c r="I147" i="10"/>
  <c r="N86" i="5"/>
  <c r="M87" i="5"/>
  <c r="I85" i="5"/>
  <c r="H86" i="5"/>
  <c r="I57" i="5"/>
  <c r="H58" i="5"/>
  <c r="I58" i="5" s="1"/>
  <c r="N55" i="5"/>
  <c r="M56" i="5"/>
  <c r="I86" i="6" l="1"/>
  <c r="H87" i="6"/>
  <c r="H57" i="6"/>
  <c r="I56" i="6"/>
  <c r="H27" i="6"/>
  <c r="I26" i="6"/>
  <c r="I86" i="5"/>
  <c r="H87" i="5"/>
  <c r="M88" i="5"/>
  <c r="N88" i="5" s="1"/>
  <c r="N87" i="5"/>
  <c r="M57" i="5"/>
  <c r="N56" i="5"/>
  <c r="H88" i="6" l="1"/>
  <c r="I88" i="6" s="1"/>
  <c r="I87" i="6"/>
  <c r="H58" i="6"/>
  <c r="I58" i="6" s="1"/>
  <c r="I57" i="6"/>
  <c r="H28" i="6"/>
  <c r="I28" i="6" s="1"/>
  <c r="I27" i="6"/>
  <c r="I87" i="5"/>
  <c r="H88" i="5"/>
  <c r="I88" i="5" s="1"/>
  <c r="N57" i="5"/>
  <c r="M58" i="5"/>
  <c r="N58" i="5" s="1"/>
  <c r="P299" i="7" l="1"/>
  <c r="O299" i="7"/>
  <c r="K299" i="7"/>
  <c r="F299" i="7"/>
  <c r="F212" i="9" s="1"/>
  <c r="M279" i="7"/>
  <c r="M280" i="7" s="1"/>
  <c r="M281" i="7" s="1"/>
  <c r="H279" i="7"/>
  <c r="H280" i="7" s="1"/>
  <c r="L279" i="7"/>
  <c r="L280" i="7" s="1"/>
  <c r="L281" i="7" s="1"/>
  <c r="L282" i="7" s="1"/>
  <c r="L283" i="7" s="1"/>
  <c r="L284" i="7" s="1"/>
  <c r="L285" i="7" s="1"/>
  <c r="L286" i="7" s="1"/>
  <c r="L287" i="7" s="1"/>
  <c r="L288" i="7" s="1"/>
  <c r="L289" i="7" s="1"/>
  <c r="L290" i="7" s="1"/>
  <c r="L291" i="7" s="1"/>
  <c r="L292" i="7" s="1"/>
  <c r="L293" i="7" s="1"/>
  <c r="L294" i="7" s="1"/>
  <c r="L295" i="7" s="1"/>
  <c r="L296" i="7" s="1"/>
  <c r="L297" i="7" s="1"/>
  <c r="L298" i="7" s="1"/>
  <c r="L299" i="7" s="1"/>
  <c r="G279" i="7"/>
  <c r="G280" i="7" s="1"/>
  <c r="G281" i="7" s="1"/>
  <c r="G282" i="7" s="1"/>
  <c r="G283" i="7" s="1"/>
  <c r="G284" i="7" s="1"/>
  <c r="G285" i="7" s="1"/>
  <c r="G286" i="7" s="1"/>
  <c r="G287" i="7" s="1"/>
  <c r="G288" i="7" s="1"/>
  <c r="G289" i="7" s="1"/>
  <c r="G290" i="7" s="1"/>
  <c r="G291" i="7" s="1"/>
  <c r="G292" i="7" s="1"/>
  <c r="G293" i="7" s="1"/>
  <c r="G294" i="7" s="1"/>
  <c r="G295" i="7" s="1"/>
  <c r="G296" i="7" s="1"/>
  <c r="G297" i="7" s="1"/>
  <c r="G298" i="7" s="1"/>
  <c r="G299" i="7" s="1"/>
  <c r="J249" i="7"/>
  <c r="J250" i="7"/>
  <c r="J251" i="7"/>
  <c r="J252" i="7"/>
  <c r="J253" i="7"/>
  <c r="J254" i="7"/>
  <c r="J255" i="7"/>
  <c r="J248" i="7"/>
  <c r="E249" i="7"/>
  <c r="E250" i="7"/>
  <c r="E251" i="7"/>
  <c r="E252" i="7"/>
  <c r="E253" i="7"/>
  <c r="E254" i="7"/>
  <c r="E255" i="7"/>
  <c r="E248" i="7"/>
  <c r="P269" i="7"/>
  <c r="O269" i="7"/>
  <c r="K269" i="7"/>
  <c r="F269" i="7"/>
  <c r="M248" i="7"/>
  <c r="M249" i="7" s="1"/>
  <c r="H248" i="7"/>
  <c r="H249" i="7" s="1"/>
  <c r="G248" i="7"/>
  <c r="G249" i="7" s="1"/>
  <c r="G250" i="7" s="1"/>
  <c r="G251" i="7" s="1"/>
  <c r="J188" i="7"/>
  <c r="J189" i="7"/>
  <c r="J190" i="7"/>
  <c r="J191" i="7"/>
  <c r="J192" i="7"/>
  <c r="J193" i="7"/>
  <c r="J194" i="7"/>
  <c r="J195" i="7"/>
  <c r="J187" i="7"/>
  <c r="E188" i="7"/>
  <c r="E189" i="7"/>
  <c r="E190" i="7"/>
  <c r="E191" i="7"/>
  <c r="E192" i="7"/>
  <c r="E193" i="7"/>
  <c r="E194" i="7"/>
  <c r="E195" i="7"/>
  <c r="E187" i="7"/>
  <c r="G187" i="7" s="1"/>
  <c r="P209" i="7"/>
  <c r="O209" i="7"/>
  <c r="K209" i="7"/>
  <c r="F209" i="7"/>
  <c r="M187" i="7"/>
  <c r="M188" i="7" s="1"/>
  <c r="M189" i="7" s="1"/>
  <c r="L187" i="7"/>
  <c r="H187" i="7"/>
  <c r="H188" i="7" s="1"/>
  <c r="H189" i="7" s="1"/>
  <c r="J158" i="7"/>
  <c r="J159" i="7"/>
  <c r="J160" i="7"/>
  <c r="J161" i="7"/>
  <c r="J162" i="7"/>
  <c r="J157" i="7"/>
  <c r="E158" i="7"/>
  <c r="E159" i="7"/>
  <c r="E160" i="7"/>
  <c r="E161" i="7"/>
  <c r="E162" i="7"/>
  <c r="E157" i="7"/>
  <c r="G157" i="7" s="1"/>
  <c r="P179" i="7"/>
  <c r="O179" i="7"/>
  <c r="K179" i="7"/>
  <c r="F179" i="7"/>
  <c r="M157" i="7"/>
  <c r="M158" i="7" s="1"/>
  <c r="M159" i="7" s="1"/>
  <c r="L157" i="7"/>
  <c r="H157" i="7"/>
  <c r="H158" i="7" s="1"/>
  <c r="H159" i="7" s="1"/>
  <c r="F100" i="9"/>
  <c r="F101" i="9"/>
  <c r="F102" i="9"/>
  <c r="G127" i="7"/>
  <c r="G128" i="7" s="1"/>
  <c r="P149" i="7"/>
  <c r="O149" i="7"/>
  <c r="K149" i="7"/>
  <c r="F149" i="7"/>
  <c r="M127" i="7"/>
  <c r="M128" i="7" s="1"/>
  <c r="M129" i="7" s="1"/>
  <c r="H127" i="7"/>
  <c r="H128" i="7" s="1"/>
  <c r="H129" i="7" s="1"/>
  <c r="J67" i="7"/>
  <c r="J68" i="7"/>
  <c r="J69" i="7"/>
  <c r="J70" i="7"/>
  <c r="J71" i="7"/>
  <c r="J72" i="7"/>
  <c r="J73" i="7"/>
  <c r="J74" i="7"/>
  <c r="J66" i="7"/>
  <c r="L66" i="7" s="1"/>
  <c r="E67" i="7"/>
  <c r="E68" i="7"/>
  <c r="E69" i="7"/>
  <c r="E70" i="7"/>
  <c r="E71" i="7"/>
  <c r="E72" i="7"/>
  <c r="E73" i="7"/>
  <c r="E74" i="7"/>
  <c r="E66" i="7"/>
  <c r="G66" i="7" s="1"/>
  <c r="P88" i="7"/>
  <c r="O88" i="7"/>
  <c r="K88" i="7"/>
  <c r="F88" i="7"/>
  <c r="M66" i="7"/>
  <c r="M67" i="7" s="1"/>
  <c r="M68" i="7" s="1"/>
  <c r="H66" i="7"/>
  <c r="H67" i="7" s="1"/>
  <c r="H68" i="7" s="1"/>
  <c r="J37" i="7"/>
  <c r="J38" i="7"/>
  <c r="J39" i="7"/>
  <c r="J40" i="7"/>
  <c r="J41" i="7"/>
  <c r="J36" i="7"/>
  <c r="L36" i="7" s="1"/>
  <c r="E41" i="7"/>
  <c r="E37" i="7"/>
  <c r="E38" i="7"/>
  <c r="E39" i="7"/>
  <c r="E40" i="7"/>
  <c r="E36" i="7"/>
  <c r="P58" i="7"/>
  <c r="O58" i="7"/>
  <c r="K58" i="7"/>
  <c r="F58" i="7"/>
  <c r="M36" i="7"/>
  <c r="M37" i="7" s="1"/>
  <c r="M38" i="7" s="1"/>
  <c r="H36" i="7"/>
  <c r="H37" i="7" s="1"/>
  <c r="H38" i="7" s="1"/>
  <c r="G36" i="7"/>
  <c r="E28" i="7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31" i="9"/>
  <c r="I31" i="9" s="1"/>
  <c r="F32" i="9"/>
  <c r="F33" i="9"/>
  <c r="F31" i="9"/>
  <c r="H31" i="9" s="1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31" i="9"/>
  <c r="E31" i="9" s="1"/>
  <c r="B32" i="9"/>
  <c r="B33" i="9"/>
  <c r="B52" i="9"/>
  <c r="B53" i="9"/>
  <c r="B54" i="9"/>
  <c r="B31" i="9"/>
  <c r="D31" i="9" s="1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" i="8"/>
  <c r="N2" i="8" s="1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" i="8"/>
  <c r="M2" i="8" s="1"/>
  <c r="J226" i="4"/>
  <c r="J227" i="4"/>
  <c r="J228" i="4"/>
  <c r="J229" i="4"/>
  <c r="J230" i="4"/>
  <c r="J231" i="4"/>
  <c r="J225" i="4"/>
  <c r="E226" i="4"/>
  <c r="E227" i="4"/>
  <c r="E228" i="4"/>
  <c r="E229" i="4"/>
  <c r="E230" i="4"/>
  <c r="E231" i="4"/>
  <c r="E225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B49" i="9" s="1"/>
  <c r="E83" i="4"/>
  <c r="B50" i="9" s="1"/>
  <c r="E84" i="4"/>
  <c r="B51" i="9" s="1"/>
  <c r="E67" i="4"/>
  <c r="B37" i="9"/>
  <c r="B38" i="9"/>
  <c r="B34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61" i="9"/>
  <c r="I61" i="9" s="1"/>
  <c r="F62" i="9"/>
  <c r="F63" i="9"/>
  <c r="F64" i="9"/>
  <c r="F65" i="9"/>
  <c r="F66" i="9"/>
  <c r="F81" i="9"/>
  <c r="F83" i="9"/>
  <c r="F84" i="9"/>
  <c r="F61" i="9"/>
  <c r="H61" i="9" s="1"/>
  <c r="C61" i="9"/>
  <c r="E61" i="9" s="1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B62" i="9"/>
  <c r="B63" i="9"/>
  <c r="B64" i="9"/>
  <c r="B65" i="9"/>
  <c r="B66" i="9"/>
  <c r="B84" i="9"/>
  <c r="B61" i="9"/>
  <c r="P268" i="4"/>
  <c r="O268" i="4"/>
  <c r="K268" i="4"/>
  <c r="F268" i="4"/>
  <c r="M246" i="4"/>
  <c r="M247" i="4" s="1"/>
  <c r="M248" i="4" s="1"/>
  <c r="L246" i="4"/>
  <c r="L247" i="4" s="1"/>
  <c r="H246" i="4"/>
  <c r="H247" i="4" s="1"/>
  <c r="H248" i="4" s="1"/>
  <c r="G246" i="4"/>
  <c r="G247" i="4" s="1"/>
  <c r="P238" i="4"/>
  <c r="O238" i="4"/>
  <c r="K238" i="4"/>
  <c r="F238" i="4"/>
  <c r="M216" i="4"/>
  <c r="M217" i="4" s="1"/>
  <c r="M218" i="4" s="1"/>
  <c r="L216" i="4"/>
  <c r="L217" i="4" s="1"/>
  <c r="H216" i="4"/>
  <c r="H217" i="4" s="1"/>
  <c r="H218" i="4" s="1"/>
  <c r="G216" i="4"/>
  <c r="G217" i="4" s="1"/>
  <c r="P208" i="4"/>
  <c r="O208" i="4"/>
  <c r="K208" i="4"/>
  <c r="F208" i="4"/>
  <c r="M186" i="4"/>
  <c r="M187" i="4" s="1"/>
  <c r="M188" i="4" s="1"/>
  <c r="L186" i="4"/>
  <c r="H186" i="4"/>
  <c r="H187" i="4" s="1"/>
  <c r="H188" i="4" s="1"/>
  <c r="G186" i="4"/>
  <c r="P178" i="4"/>
  <c r="O178" i="4"/>
  <c r="K178" i="4"/>
  <c r="F178" i="4"/>
  <c r="M156" i="4"/>
  <c r="M157" i="4" s="1"/>
  <c r="M158" i="4" s="1"/>
  <c r="L156" i="4"/>
  <c r="H156" i="4"/>
  <c r="H157" i="4" s="1"/>
  <c r="H158" i="4" s="1"/>
  <c r="G156" i="4"/>
  <c r="G157" i="4" s="1"/>
  <c r="G158" i="4" s="1"/>
  <c r="G159" i="4" s="1"/>
  <c r="G160" i="4" s="1"/>
  <c r="G161" i="4" s="1"/>
  <c r="P148" i="4"/>
  <c r="O148" i="4"/>
  <c r="K148" i="4"/>
  <c r="F148" i="4"/>
  <c r="M126" i="4"/>
  <c r="M127" i="4" s="1"/>
  <c r="M128" i="4" s="1"/>
  <c r="L126" i="4"/>
  <c r="H126" i="4"/>
  <c r="H127" i="4" s="1"/>
  <c r="H128" i="4" s="1"/>
  <c r="G126" i="4"/>
  <c r="P118" i="4"/>
  <c r="O118" i="4"/>
  <c r="K118" i="4"/>
  <c r="F118" i="4"/>
  <c r="M96" i="4"/>
  <c r="M97" i="4" s="1"/>
  <c r="M98" i="4" s="1"/>
  <c r="L96" i="4"/>
  <c r="L97" i="4" s="1"/>
  <c r="H96" i="4"/>
  <c r="H97" i="4" s="1"/>
  <c r="H98" i="4" s="1"/>
  <c r="G96" i="4"/>
  <c r="G97" i="4" s="1"/>
  <c r="P88" i="4"/>
  <c r="O88" i="4"/>
  <c r="K88" i="4"/>
  <c r="F88" i="4"/>
  <c r="M66" i="4"/>
  <c r="M67" i="4" s="1"/>
  <c r="M68" i="4" s="1"/>
  <c r="L66" i="4"/>
  <c r="H66" i="4"/>
  <c r="H67" i="4" s="1"/>
  <c r="H68" i="4" s="1"/>
  <c r="G66" i="4"/>
  <c r="P58" i="4"/>
  <c r="O58" i="4"/>
  <c r="K58" i="4"/>
  <c r="F58" i="4"/>
  <c r="M36" i="4"/>
  <c r="M37" i="4" s="1"/>
  <c r="M38" i="4" s="1"/>
  <c r="L36" i="4"/>
  <c r="H36" i="4"/>
  <c r="H37" i="4" s="1"/>
  <c r="H38" i="4" s="1"/>
  <c r="G36" i="4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" i="9"/>
  <c r="M2" i="9" s="1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" i="9"/>
  <c r="L2" i="9" s="1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" i="9"/>
  <c r="F3" i="9"/>
  <c r="F24" i="9"/>
  <c r="F25" i="9"/>
  <c r="F2" i="9"/>
  <c r="H2" i="9" s="1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" i="9"/>
  <c r="E2" i="9" s="1"/>
  <c r="B3" i="9"/>
  <c r="B25" i="9"/>
  <c r="B2" i="9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" i="8"/>
  <c r="Y282" i="2"/>
  <c r="Y283" i="2"/>
  <c r="Y284" i="2"/>
  <c r="Y285" i="2"/>
  <c r="Y286" i="2"/>
  <c r="Y287" i="2"/>
  <c r="Y288" i="2"/>
  <c r="Y289" i="2"/>
  <c r="Y290" i="2"/>
  <c r="Y291" i="2"/>
  <c r="Y292" i="2"/>
  <c r="Y293" i="2"/>
  <c r="F79" i="9" s="1"/>
  <c r="Y294" i="2"/>
  <c r="F80" i="9" s="1"/>
  <c r="Y295" i="2"/>
  <c r="Y296" i="2"/>
  <c r="F82" i="9" s="1"/>
  <c r="Y297" i="2"/>
  <c r="Y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B79" i="9" s="1"/>
  <c r="T294" i="2"/>
  <c r="B80" i="9" s="1"/>
  <c r="T295" i="2"/>
  <c r="B81" i="9" s="1"/>
  <c r="T296" i="2"/>
  <c r="B82" i="9" s="1"/>
  <c r="T297" i="2"/>
  <c r="B83" i="9" s="1"/>
  <c r="T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F20" i="9" s="1"/>
  <c r="J294" i="2"/>
  <c r="F21" i="9" s="1"/>
  <c r="J295" i="2"/>
  <c r="F22" i="9" s="1"/>
  <c r="J296" i="2"/>
  <c r="F23" i="9" s="1"/>
  <c r="J297" i="2"/>
  <c r="J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B20" i="9" s="1"/>
  <c r="E294" i="2"/>
  <c r="B21" i="9" s="1"/>
  <c r="E295" i="2"/>
  <c r="B22" i="9" s="1"/>
  <c r="E296" i="2"/>
  <c r="B23" i="9" s="1"/>
  <c r="E297" i="2"/>
  <c r="B24" i="9" s="1"/>
  <c r="E281" i="2"/>
  <c r="P299" i="2"/>
  <c r="K299" i="2"/>
  <c r="F299" i="2"/>
  <c r="R277" i="2"/>
  <c r="R278" i="2" s="1"/>
  <c r="R279" i="2" s="1"/>
  <c r="R280" i="2" s="1"/>
  <c r="R281" i="2" s="1"/>
  <c r="R282" i="2" s="1"/>
  <c r="R283" i="2" s="1"/>
  <c r="R284" i="2" s="1"/>
  <c r="R285" i="2" s="1"/>
  <c r="R286" i="2" s="1"/>
  <c r="R287" i="2" s="1"/>
  <c r="Q277" i="2"/>
  <c r="Q278" i="2" s="1"/>
  <c r="Q279" i="2" s="1"/>
  <c r="Q280" i="2" s="1"/>
  <c r="Q281" i="2" s="1"/>
  <c r="Q282" i="2" s="1"/>
  <c r="Q283" i="2" s="1"/>
  <c r="Q284" i="2" s="1"/>
  <c r="Q285" i="2" s="1"/>
  <c r="Q286" i="2" s="1"/>
  <c r="Q287" i="2" s="1"/>
  <c r="Q288" i="2" s="1"/>
  <c r="Q289" i="2" s="1"/>
  <c r="Q290" i="2" s="1"/>
  <c r="Q291" i="2" s="1"/>
  <c r="Q292" i="2" s="1"/>
  <c r="Q293" i="2" s="1"/>
  <c r="Q294" i="2" s="1"/>
  <c r="Q295" i="2" s="1"/>
  <c r="Q296" i="2" s="1"/>
  <c r="Q297" i="2" s="1"/>
  <c r="Q298" i="2" s="1"/>
  <c r="Q299" i="2" s="1"/>
  <c r="M277" i="2"/>
  <c r="M278" i="2" s="1"/>
  <c r="M279" i="2" s="1"/>
  <c r="M280" i="2" s="1"/>
  <c r="M281" i="2" s="1"/>
  <c r="L277" i="2"/>
  <c r="L278" i="2" s="1"/>
  <c r="L279" i="2" s="1"/>
  <c r="L280" i="2" s="1"/>
  <c r="H277" i="2"/>
  <c r="H278" i="2" s="1"/>
  <c r="H279" i="2" s="1"/>
  <c r="H280" i="2" s="1"/>
  <c r="H281" i="2" s="1"/>
  <c r="G277" i="2"/>
  <c r="G278" i="2" s="1"/>
  <c r="G279" i="2" s="1"/>
  <c r="G280" i="2" s="1"/>
  <c r="AE299" i="2"/>
  <c r="AD299" i="2"/>
  <c r="Z299" i="2"/>
  <c r="U299" i="2"/>
  <c r="AB277" i="2"/>
  <c r="AB278" i="2" s="1"/>
  <c r="AB279" i="2" s="1"/>
  <c r="AB280" i="2" s="1"/>
  <c r="AB281" i="2" s="1"/>
  <c r="AA277" i="2"/>
  <c r="AA278" i="2" s="1"/>
  <c r="AA279" i="2" s="1"/>
  <c r="AA280" i="2" s="1"/>
  <c r="W277" i="2"/>
  <c r="W278" i="2" s="1"/>
  <c r="W279" i="2" s="1"/>
  <c r="W280" i="2" s="1"/>
  <c r="W281" i="2" s="1"/>
  <c r="V277" i="2"/>
  <c r="V278" i="2" s="1"/>
  <c r="V279" i="2" s="1"/>
  <c r="V280" i="2" s="1"/>
  <c r="F96" i="9" l="1"/>
  <c r="F95" i="9"/>
  <c r="F98" i="9"/>
  <c r="F94" i="9"/>
  <c r="F97" i="9"/>
  <c r="F105" i="9"/>
  <c r="F104" i="9"/>
  <c r="F99" i="9"/>
  <c r="F103" i="9"/>
  <c r="V281" i="2"/>
  <c r="L67" i="4"/>
  <c r="B36" i="9"/>
  <c r="B42" i="9"/>
  <c r="B35" i="9"/>
  <c r="B40" i="9"/>
  <c r="M3" i="8"/>
  <c r="M4" i="8" s="1"/>
  <c r="M5" i="8" s="1"/>
  <c r="M6" i="8" s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N3" i="8"/>
  <c r="N4" i="8" s="1"/>
  <c r="N5" i="8" s="1"/>
  <c r="N6" i="8" s="1"/>
  <c r="N7" i="8" s="1"/>
  <c r="N8" i="8" s="1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B43" i="9"/>
  <c r="I32" i="9"/>
  <c r="B48" i="9"/>
  <c r="B47" i="9"/>
  <c r="B46" i="9"/>
  <c r="B45" i="9"/>
  <c r="B44" i="9"/>
  <c r="B41" i="9"/>
  <c r="B39" i="9"/>
  <c r="V282" i="2"/>
  <c r="V283" i="2" s="1"/>
  <c r="V284" i="2" s="1"/>
  <c r="V285" i="2" s="1"/>
  <c r="V286" i="2" s="1"/>
  <c r="V287" i="2" s="1"/>
  <c r="V288" i="2" s="1"/>
  <c r="V289" i="2" s="1"/>
  <c r="V290" i="2" s="1"/>
  <c r="V291" i="2" s="1"/>
  <c r="V292" i="2" s="1"/>
  <c r="V293" i="2" s="1"/>
  <c r="V294" i="2" s="1"/>
  <c r="V295" i="2" s="1"/>
  <c r="V296" i="2" s="1"/>
  <c r="V297" i="2" s="1"/>
  <c r="V298" i="2" s="1"/>
  <c r="V299" i="2" s="1"/>
  <c r="L127" i="7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F93" i="9"/>
  <c r="H93" i="9" s="1"/>
  <c r="G212" i="9"/>
  <c r="G37" i="7"/>
  <c r="L188" i="7"/>
  <c r="L189" i="7" s="1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L200" i="7" s="1"/>
  <c r="L201" i="7" s="1"/>
  <c r="L202" i="7" s="1"/>
  <c r="L203" i="7" s="1"/>
  <c r="L204" i="7" s="1"/>
  <c r="L205" i="7" s="1"/>
  <c r="L206" i="7" s="1"/>
  <c r="L207" i="7" s="1"/>
  <c r="L208" i="7" s="1"/>
  <c r="L209" i="7" s="1"/>
  <c r="L158" i="7"/>
  <c r="L159" i="7" s="1"/>
  <c r="L160" i="7" s="1"/>
  <c r="G67" i="7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252" i="7"/>
  <c r="G253" i="7" s="1"/>
  <c r="G254" i="7" s="1"/>
  <c r="G255" i="7" s="1"/>
  <c r="G256" i="7" s="1"/>
  <c r="G257" i="7" s="1"/>
  <c r="G258" i="7" s="1"/>
  <c r="G259" i="7" s="1"/>
  <c r="G260" i="7" s="1"/>
  <c r="G261" i="7" s="1"/>
  <c r="G262" i="7" s="1"/>
  <c r="G263" i="7" s="1"/>
  <c r="G264" i="7" s="1"/>
  <c r="G265" i="7" s="1"/>
  <c r="G266" i="7" s="1"/>
  <c r="G267" i="7" s="1"/>
  <c r="G268" i="7" s="1"/>
  <c r="G269" i="7" s="1"/>
  <c r="G188" i="7"/>
  <c r="G189" i="7" s="1"/>
  <c r="G190" i="7" s="1"/>
  <c r="G191" i="7" s="1"/>
  <c r="G192" i="7" s="1"/>
  <c r="G193" i="7" s="1"/>
  <c r="G194" i="7" s="1"/>
  <c r="G195" i="7" s="1"/>
  <c r="G196" i="7" s="1"/>
  <c r="G197" i="7" s="1"/>
  <c r="G198" i="7" s="1"/>
  <c r="G199" i="7" s="1"/>
  <c r="G200" i="7" s="1"/>
  <c r="G201" i="7" s="1"/>
  <c r="G202" i="7" s="1"/>
  <c r="G203" i="7" s="1"/>
  <c r="G204" i="7" s="1"/>
  <c r="G205" i="7" s="1"/>
  <c r="G206" i="7" s="1"/>
  <c r="G207" i="7" s="1"/>
  <c r="G208" i="7" s="1"/>
  <c r="G209" i="7" s="1"/>
  <c r="G38" i="7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129" i="7"/>
  <c r="G130" i="7" s="1"/>
  <c r="G131" i="7" s="1"/>
  <c r="G132" i="7" s="1"/>
  <c r="G133" i="7" s="1"/>
  <c r="G134" i="7" s="1"/>
  <c r="G135" i="7" s="1"/>
  <c r="G136" i="7" s="1"/>
  <c r="G137" i="7" s="1"/>
  <c r="G138" i="7" s="1"/>
  <c r="G139" i="7" s="1"/>
  <c r="G140" i="7" s="1"/>
  <c r="G141" i="7" s="1"/>
  <c r="G142" i="7" s="1"/>
  <c r="G143" i="7" s="1"/>
  <c r="G144" i="7" s="1"/>
  <c r="G145" i="7" s="1"/>
  <c r="G146" i="7" s="1"/>
  <c r="G147" i="7" s="1"/>
  <c r="G148" i="7" s="1"/>
  <c r="G149" i="7" s="1"/>
  <c r="L37" i="7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67" i="7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I33" i="9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E32" i="9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H62" i="9"/>
  <c r="H63" i="9" s="1"/>
  <c r="H64" i="9" s="1"/>
  <c r="H65" i="9" s="1"/>
  <c r="H66" i="9" s="1"/>
  <c r="E62" i="9"/>
  <c r="E63" i="9" s="1"/>
  <c r="E64" i="9" s="1"/>
  <c r="E65" i="9" s="1"/>
  <c r="I62" i="9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I80" i="9" s="1"/>
  <c r="I81" i="9" s="1"/>
  <c r="I82" i="9" s="1"/>
  <c r="I83" i="9" s="1"/>
  <c r="I84" i="9" s="1"/>
  <c r="I85" i="9" s="1"/>
  <c r="D32" i="9"/>
  <c r="D33" i="9" s="1"/>
  <c r="D34" i="9" s="1"/>
  <c r="H32" i="9"/>
  <c r="H33" i="9" s="1"/>
  <c r="C55" i="9"/>
  <c r="G55" i="9"/>
  <c r="E66" i="9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C85" i="9"/>
  <c r="G85" i="9"/>
  <c r="N281" i="7"/>
  <c r="M282" i="7"/>
  <c r="I280" i="7"/>
  <c r="H281" i="7"/>
  <c r="N279" i="7"/>
  <c r="N280" i="7"/>
  <c r="I279" i="7"/>
  <c r="L248" i="7"/>
  <c r="L249" i="7" s="1"/>
  <c r="L250" i="7" s="1"/>
  <c r="L251" i="7" s="1"/>
  <c r="L252" i="7" s="1"/>
  <c r="L253" i="7" s="1"/>
  <c r="L254" i="7" s="1"/>
  <c r="L255" i="7" s="1"/>
  <c r="L256" i="7" s="1"/>
  <c r="L257" i="7" s="1"/>
  <c r="L258" i="7" s="1"/>
  <c r="L259" i="7" s="1"/>
  <c r="L260" i="7" s="1"/>
  <c r="L261" i="7" s="1"/>
  <c r="L262" i="7" s="1"/>
  <c r="L263" i="7" s="1"/>
  <c r="L264" i="7" s="1"/>
  <c r="L265" i="7" s="1"/>
  <c r="L266" i="7" s="1"/>
  <c r="L267" i="7" s="1"/>
  <c r="L268" i="7" s="1"/>
  <c r="L269" i="7" s="1"/>
  <c r="M250" i="7"/>
  <c r="H250" i="7"/>
  <c r="I249" i="7"/>
  <c r="H190" i="7"/>
  <c r="M190" i="7"/>
  <c r="L161" i="7"/>
  <c r="L162" i="7" s="1"/>
  <c r="L163" i="7" s="1"/>
  <c r="L164" i="7" s="1"/>
  <c r="L165" i="7" s="1"/>
  <c r="L166" i="7" s="1"/>
  <c r="L167" i="7" s="1"/>
  <c r="L168" i="7" s="1"/>
  <c r="L169" i="7" s="1"/>
  <c r="L170" i="7" s="1"/>
  <c r="L171" i="7" s="1"/>
  <c r="L172" i="7" s="1"/>
  <c r="L173" i="7" s="1"/>
  <c r="L174" i="7" s="1"/>
  <c r="L175" i="7" s="1"/>
  <c r="L176" i="7" s="1"/>
  <c r="L177" i="7" s="1"/>
  <c r="L178" i="7" s="1"/>
  <c r="L179" i="7" s="1"/>
  <c r="G158" i="7"/>
  <c r="G159" i="7" s="1"/>
  <c r="G160" i="7" s="1"/>
  <c r="G161" i="7" s="1"/>
  <c r="G162" i="7" s="1"/>
  <c r="G163" i="7" s="1"/>
  <c r="G164" i="7" s="1"/>
  <c r="G165" i="7" s="1"/>
  <c r="G166" i="7" s="1"/>
  <c r="G167" i="7" s="1"/>
  <c r="G168" i="7" s="1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G179" i="7" s="1"/>
  <c r="H160" i="7"/>
  <c r="N159" i="7"/>
  <c r="M160" i="7"/>
  <c r="H130" i="7"/>
  <c r="M130" i="7"/>
  <c r="H69" i="7"/>
  <c r="M69" i="7"/>
  <c r="I38" i="7"/>
  <c r="H39" i="7"/>
  <c r="M39" i="7"/>
  <c r="L187" i="4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G187" i="4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L157" i="4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27" i="4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G127" i="4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98" i="4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D61" i="9"/>
  <c r="D62" i="9" s="1"/>
  <c r="D63" i="9" s="1"/>
  <c r="D64" i="9" s="1"/>
  <c r="D65" i="9" s="1"/>
  <c r="D66" i="9" s="1"/>
  <c r="G248" i="4"/>
  <c r="G67" i="4"/>
  <c r="G68" i="4" s="1"/>
  <c r="I68" i="4" s="1"/>
  <c r="G37" i="4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L98" i="4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68" i="4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248" i="4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18" i="4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G162" i="4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218" i="4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M249" i="4"/>
  <c r="H249" i="4"/>
  <c r="H219" i="4"/>
  <c r="M219" i="4"/>
  <c r="M189" i="4"/>
  <c r="H189" i="4"/>
  <c r="M159" i="4"/>
  <c r="I158" i="4"/>
  <c r="H159" i="4"/>
  <c r="M129" i="4"/>
  <c r="H129" i="4"/>
  <c r="M99" i="4"/>
  <c r="H99" i="4"/>
  <c r="M69" i="4"/>
  <c r="H69" i="4"/>
  <c r="M39" i="4"/>
  <c r="H39" i="4"/>
  <c r="L3" i="9"/>
  <c r="L4" i="9" s="1"/>
  <c r="L5" i="9" s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E3" i="9"/>
  <c r="E4" i="9" s="1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H3" i="9"/>
  <c r="G26" i="9"/>
  <c r="I2" i="9"/>
  <c r="I3" i="9" s="1"/>
  <c r="I4" i="9" s="1"/>
  <c r="I5" i="9" s="1"/>
  <c r="I6" i="9" s="1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D2" i="9"/>
  <c r="D3" i="9" s="1"/>
  <c r="J26" i="9"/>
  <c r="C26" i="9"/>
  <c r="AA281" i="2"/>
  <c r="AA282" i="2" s="1"/>
  <c r="AA283" i="2" s="1"/>
  <c r="AA284" i="2" s="1"/>
  <c r="AA285" i="2" s="1"/>
  <c r="AA286" i="2" s="1"/>
  <c r="AA287" i="2" s="1"/>
  <c r="AA288" i="2" s="1"/>
  <c r="AA289" i="2" s="1"/>
  <c r="AA290" i="2" s="1"/>
  <c r="AA291" i="2" s="1"/>
  <c r="AA292" i="2" s="1"/>
  <c r="AA293" i="2" s="1"/>
  <c r="AA294" i="2" s="1"/>
  <c r="AA295" i="2" s="1"/>
  <c r="AA296" i="2" s="1"/>
  <c r="AA297" i="2" s="1"/>
  <c r="AA298" i="2" s="1"/>
  <c r="AA299" i="2" s="1"/>
  <c r="G281" i="2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L281" i="2"/>
  <c r="L282" i="2" s="1"/>
  <c r="L283" i="2" s="1"/>
  <c r="L284" i="2" s="1"/>
  <c r="L285" i="2" s="1"/>
  <c r="L286" i="2" s="1"/>
  <c r="L287" i="2" s="1"/>
  <c r="L288" i="2" s="1"/>
  <c r="L289" i="2" s="1"/>
  <c r="L290" i="2" s="1"/>
  <c r="L291" i="2" s="1"/>
  <c r="L292" i="2" s="1"/>
  <c r="L293" i="2" s="1"/>
  <c r="L294" i="2" s="1"/>
  <c r="L295" i="2" s="1"/>
  <c r="L296" i="2" s="1"/>
  <c r="L297" i="2" s="1"/>
  <c r="L298" i="2" s="1"/>
  <c r="L299" i="2" s="1"/>
  <c r="H282" i="2"/>
  <c r="R288" i="2"/>
  <c r="M282" i="2"/>
  <c r="W282" i="2"/>
  <c r="AC281" i="2"/>
  <c r="AB282" i="2"/>
  <c r="I281" i="2" l="1"/>
  <c r="D35" i="9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B55" i="9"/>
  <c r="B87" i="9"/>
  <c r="B57" i="9"/>
  <c r="N188" i="4"/>
  <c r="N158" i="4"/>
  <c r="N128" i="4"/>
  <c r="I128" i="4"/>
  <c r="I98" i="4"/>
  <c r="I68" i="7"/>
  <c r="N129" i="7"/>
  <c r="I189" i="7"/>
  <c r="N38" i="7"/>
  <c r="N68" i="7"/>
  <c r="H94" i="9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B115" i="9"/>
  <c r="D93" i="9"/>
  <c r="D94" i="9" s="1"/>
  <c r="D95" i="9" s="1"/>
  <c r="D96" i="9" s="1"/>
  <c r="D97" i="9" s="1"/>
  <c r="D98" i="9" s="1"/>
  <c r="D99" i="9" s="1"/>
  <c r="D100" i="9" s="1"/>
  <c r="D101" i="9" s="1"/>
  <c r="D102" i="9" s="1"/>
  <c r="D103" i="9" s="1"/>
  <c r="D104" i="9" s="1"/>
  <c r="D105" i="9" s="1"/>
  <c r="D106" i="9" s="1"/>
  <c r="D107" i="9" s="1"/>
  <c r="D108" i="9" s="1"/>
  <c r="D109" i="9" s="1"/>
  <c r="D110" i="9" s="1"/>
  <c r="D111" i="9" s="1"/>
  <c r="D112" i="9" s="1"/>
  <c r="D113" i="9" s="1"/>
  <c r="D114" i="9" s="1"/>
  <c r="I129" i="7"/>
  <c r="N189" i="7"/>
  <c r="H282" i="7"/>
  <c r="I281" i="7"/>
  <c r="M283" i="7"/>
  <c r="N282" i="7"/>
  <c r="N249" i="7"/>
  <c r="I250" i="7"/>
  <c r="H251" i="7"/>
  <c r="M251" i="7"/>
  <c r="N250" i="7"/>
  <c r="N190" i="7"/>
  <c r="M191" i="7"/>
  <c r="H191" i="7"/>
  <c r="I190" i="7"/>
  <c r="I159" i="7"/>
  <c r="N160" i="7"/>
  <c r="M161" i="7"/>
  <c r="H161" i="7"/>
  <c r="I160" i="7"/>
  <c r="M131" i="7"/>
  <c r="N130" i="7"/>
  <c r="I130" i="7"/>
  <c r="H131" i="7"/>
  <c r="N69" i="7"/>
  <c r="M70" i="7"/>
  <c r="H70" i="7"/>
  <c r="I69" i="7"/>
  <c r="N39" i="7"/>
  <c r="M40" i="7"/>
  <c r="H40" i="7"/>
  <c r="I39" i="7"/>
  <c r="G249" i="4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N98" i="4"/>
  <c r="G69" i="4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I38" i="4"/>
  <c r="N68" i="4"/>
  <c r="I188" i="4"/>
  <c r="H250" i="4"/>
  <c r="M250" i="4"/>
  <c r="M220" i="4"/>
  <c r="H220" i="4"/>
  <c r="I189" i="4"/>
  <c r="H190" i="4"/>
  <c r="M190" i="4"/>
  <c r="N189" i="4"/>
  <c r="I159" i="4"/>
  <c r="H160" i="4"/>
  <c r="N159" i="4"/>
  <c r="M160" i="4"/>
  <c r="I129" i="4"/>
  <c r="H130" i="4"/>
  <c r="N129" i="4"/>
  <c r="M130" i="4"/>
  <c r="H100" i="4"/>
  <c r="I99" i="4"/>
  <c r="M100" i="4"/>
  <c r="N99" i="4"/>
  <c r="H70" i="4"/>
  <c r="M70" i="4"/>
  <c r="N69" i="4"/>
  <c r="H40" i="4"/>
  <c r="I39" i="4"/>
  <c r="M40" i="4"/>
  <c r="N281" i="2"/>
  <c r="M283" i="2"/>
  <c r="N282" i="2"/>
  <c r="R289" i="2"/>
  <c r="H283" i="2"/>
  <c r="I282" i="2"/>
  <c r="AB283" i="2"/>
  <c r="AC282" i="2"/>
  <c r="W283" i="2"/>
  <c r="M284" i="7" l="1"/>
  <c r="N283" i="7"/>
  <c r="H283" i="7"/>
  <c r="I282" i="7"/>
  <c r="N251" i="7"/>
  <c r="M252" i="7"/>
  <c r="H252" i="7"/>
  <c r="I251" i="7"/>
  <c r="I191" i="7"/>
  <c r="H192" i="7"/>
  <c r="M192" i="7"/>
  <c r="N191" i="7"/>
  <c r="I161" i="7"/>
  <c r="H162" i="7"/>
  <c r="M162" i="7"/>
  <c r="N161" i="7"/>
  <c r="H132" i="7"/>
  <c r="I131" i="7"/>
  <c r="N131" i="7"/>
  <c r="M132" i="7"/>
  <c r="H71" i="7"/>
  <c r="I70" i="7"/>
  <c r="N70" i="7"/>
  <c r="M71" i="7"/>
  <c r="N40" i="7"/>
  <c r="M41" i="7"/>
  <c r="I40" i="7"/>
  <c r="H41" i="7"/>
  <c r="I69" i="4"/>
  <c r="M251" i="4"/>
  <c r="H251" i="4"/>
  <c r="H221" i="4"/>
  <c r="M221" i="4"/>
  <c r="N190" i="4"/>
  <c r="M191" i="4"/>
  <c r="I190" i="4"/>
  <c r="H191" i="4"/>
  <c r="N160" i="4"/>
  <c r="M161" i="4"/>
  <c r="H161" i="4"/>
  <c r="I160" i="4"/>
  <c r="N130" i="4"/>
  <c r="M131" i="4"/>
  <c r="H131" i="4"/>
  <c r="I130" i="4"/>
  <c r="N100" i="4"/>
  <c r="M101" i="4"/>
  <c r="I100" i="4"/>
  <c r="H101" i="4"/>
  <c r="N70" i="4"/>
  <c r="M71" i="4"/>
  <c r="I70" i="4"/>
  <c r="H71" i="4"/>
  <c r="M41" i="4"/>
  <c r="H41" i="4"/>
  <c r="I40" i="4"/>
  <c r="H284" i="2"/>
  <c r="I283" i="2"/>
  <c r="R290" i="2"/>
  <c r="N283" i="2"/>
  <c r="M284" i="2"/>
  <c r="X283" i="2"/>
  <c r="W284" i="2"/>
  <c r="AC283" i="2"/>
  <c r="AB284" i="2"/>
  <c r="I283" i="7" l="1"/>
  <c r="H284" i="7"/>
  <c r="N284" i="7"/>
  <c r="M285" i="7"/>
  <c r="I252" i="7"/>
  <c r="H253" i="7"/>
  <c r="N252" i="7"/>
  <c r="M253" i="7"/>
  <c r="M193" i="7"/>
  <c r="N192" i="7"/>
  <c r="H193" i="7"/>
  <c r="I192" i="7"/>
  <c r="N162" i="7"/>
  <c r="M163" i="7"/>
  <c r="I162" i="7"/>
  <c r="H163" i="7"/>
  <c r="M133" i="7"/>
  <c r="N132" i="7"/>
  <c r="I132" i="7"/>
  <c r="H133" i="7"/>
  <c r="M72" i="7"/>
  <c r="N71" i="7"/>
  <c r="I71" i="7"/>
  <c r="H72" i="7"/>
  <c r="H42" i="7"/>
  <c r="I41" i="7"/>
  <c r="N41" i="7"/>
  <c r="M42" i="7"/>
  <c r="I251" i="4"/>
  <c r="H252" i="4"/>
  <c r="N251" i="4"/>
  <c r="M252" i="4"/>
  <c r="M222" i="4"/>
  <c r="H222" i="4"/>
  <c r="H192" i="4"/>
  <c r="I191" i="4"/>
  <c r="N191" i="4"/>
  <c r="M192" i="4"/>
  <c r="I161" i="4"/>
  <c r="H162" i="4"/>
  <c r="M162" i="4"/>
  <c r="N161" i="4"/>
  <c r="H132" i="4"/>
  <c r="I131" i="4"/>
  <c r="M132" i="4"/>
  <c r="N131" i="4"/>
  <c r="H102" i="4"/>
  <c r="I101" i="4"/>
  <c r="N101" i="4"/>
  <c r="M102" i="4"/>
  <c r="I71" i="4"/>
  <c r="H72" i="4"/>
  <c r="N71" i="4"/>
  <c r="M72" i="4"/>
  <c r="I41" i="4"/>
  <c r="H42" i="4"/>
  <c r="M42" i="4"/>
  <c r="N284" i="2"/>
  <c r="M285" i="2"/>
  <c r="R291" i="2"/>
  <c r="I284" i="2"/>
  <c r="H285" i="2"/>
  <c r="X284" i="2"/>
  <c r="W285" i="2"/>
  <c r="AB285" i="2"/>
  <c r="AC284" i="2"/>
  <c r="M286" i="7" l="1"/>
  <c r="N285" i="7"/>
  <c r="H285" i="7"/>
  <c r="I284" i="7"/>
  <c r="M254" i="7"/>
  <c r="N253" i="7"/>
  <c r="I253" i="7"/>
  <c r="H254" i="7"/>
  <c r="H194" i="7"/>
  <c r="I193" i="7"/>
  <c r="N193" i="7"/>
  <c r="M194" i="7"/>
  <c r="H164" i="7"/>
  <c r="I163" i="7"/>
  <c r="N163" i="7"/>
  <c r="M164" i="7"/>
  <c r="I133" i="7"/>
  <c r="H134" i="7"/>
  <c r="M134" i="7"/>
  <c r="N133" i="7"/>
  <c r="I72" i="7"/>
  <c r="H73" i="7"/>
  <c r="N72" i="7"/>
  <c r="M73" i="7"/>
  <c r="N42" i="7"/>
  <c r="M43" i="7"/>
  <c r="H43" i="7"/>
  <c r="I42" i="7"/>
  <c r="N252" i="4"/>
  <c r="M253" i="4"/>
  <c r="H253" i="4"/>
  <c r="I252" i="4"/>
  <c r="H223" i="4"/>
  <c r="M223" i="4"/>
  <c r="M193" i="4"/>
  <c r="N192" i="4"/>
  <c r="I192" i="4"/>
  <c r="H193" i="4"/>
  <c r="N162" i="4"/>
  <c r="M163" i="4"/>
  <c r="I162" i="4"/>
  <c r="H163" i="4"/>
  <c r="N132" i="4"/>
  <c r="M133" i="4"/>
  <c r="I132" i="4"/>
  <c r="H133" i="4"/>
  <c r="M103" i="4"/>
  <c r="N102" i="4"/>
  <c r="I102" i="4"/>
  <c r="H103" i="4"/>
  <c r="N72" i="4"/>
  <c r="M73" i="4"/>
  <c r="I72" i="4"/>
  <c r="H73" i="4"/>
  <c r="M43" i="4"/>
  <c r="H43" i="4"/>
  <c r="I42" i="4"/>
  <c r="M286" i="2"/>
  <c r="N285" i="2"/>
  <c r="I285" i="2"/>
  <c r="H286" i="2"/>
  <c r="S291" i="2"/>
  <c r="R292" i="2"/>
  <c r="W286" i="2"/>
  <c r="X285" i="2"/>
  <c r="AC285" i="2"/>
  <c r="AB286" i="2"/>
  <c r="I285" i="7" l="1"/>
  <c r="H286" i="7"/>
  <c r="N286" i="7"/>
  <c r="M287" i="7"/>
  <c r="I254" i="7"/>
  <c r="H255" i="7"/>
  <c r="N254" i="7"/>
  <c r="M255" i="7"/>
  <c r="M195" i="7"/>
  <c r="N194" i="7"/>
  <c r="I194" i="7"/>
  <c r="H195" i="7"/>
  <c r="M165" i="7"/>
  <c r="N164" i="7"/>
  <c r="I164" i="7"/>
  <c r="H165" i="7"/>
  <c r="N134" i="7"/>
  <c r="M135" i="7"/>
  <c r="H135" i="7"/>
  <c r="I134" i="7"/>
  <c r="N73" i="7"/>
  <c r="M74" i="7"/>
  <c r="H74" i="7"/>
  <c r="I73" i="7"/>
  <c r="H44" i="7"/>
  <c r="I43" i="7"/>
  <c r="N43" i="7"/>
  <c r="M44" i="7"/>
  <c r="I253" i="4"/>
  <c r="H254" i="4"/>
  <c r="M254" i="4"/>
  <c r="N253" i="4"/>
  <c r="M224" i="4"/>
  <c r="H224" i="4"/>
  <c r="I193" i="4"/>
  <c r="H194" i="4"/>
  <c r="N193" i="4"/>
  <c r="M194" i="4"/>
  <c r="I163" i="4"/>
  <c r="H164" i="4"/>
  <c r="M164" i="4"/>
  <c r="N163" i="4"/>
  <c r="I133" i="4"/>
  <c r="H134" i="4"/>
  <c r="M134" i="4"/>
  <c r="N133" i="4"/>
  <c r="I103" i="4"/>
  <c r="H104" i="4"/>
  <c r="M104" i="4"/>
  <c r="N103" i="4"/>
  <c r="H74" i="4"/>
  <c r="I73" i="4"/>
  <c r="M74" i="4"/>
  <c r="N73" i="4"/>
  <c r="H44" i="4"/>
  <c r="I43" i="4"/>
  <c r="M44" i="4"/>
  <c r="S292" i="2"/>
  <c r="R293" i="2"/>
  <c r="H287" i="2"/>
  <c r="I286" i="2"/>
  <c r="N286" i="2"/>
  <c r="M287" i="2"/>
  <c r="W287" i="2"/>
  <c r="X286" i="2"/>
  <c r="AB287" i="2"/>
  <c r="AC286" i="2"/>
  <c r="M288" i="7" l="1"/>
  <c r="N287" i="7"/>
  <c r="I286" i="7"/>
  <c r="H287" i="7"/>
  <c r="M256" i="7"/>
  <c r="N255" i="7"/>
  <c r="H256" i="7"/>
  <c r="I255" i="7"/>
  <c r="I195" i="7"/>
  <c r="H196" i="7"/>
  <c r="N195" i="7"/>
  <c r="M196" i="7"/>
  <c r="I165" i="7"/>
  <c r="H166" i="7"/>
  <c r="N165" i="7"/>
  <c r="M166" i="7"/>
  <c r="I135" i="7"/>
  <c r="H136" i="7"/>
  <c r="M136" i="7"/>
  <c r="N135" i="7"/>
  <c r="I74" i="7"/>
  <c r="H75" i="7"/>
  <c r="M75" i="7"/>
  <c r="N74" i="7"/>
  <c r="I44" i="7"/>
  <c r="H45" i="7"/>
  <c r="N44" i="7"/>
  <c r="M45" i="7"/>
  <c r="M255" i="4"/>
  <c r="N254" i="4"/>
  <c r="I254" i="4"/>
  <c r="H255" i="4"/>
  <c r="H225" i="4"/>
  <c r="M225" i="4"/>
  <c r="M195" i="4"/>
  <c r="N194" i="4"/>
  <c r="H195" i="4"/>
  <c r="I194" i="4"/>
  <c r="N164" i="4"/>
  <c r="M165" i="4"/>
  <c r="I164" i="4"/>
  <c r="H165" i="4"/>
  <c r="M135" i="4"/>
  <c r="N134" i="4"/>
  <c r="H135" i="4"/>
  <c r="I134" i="4"/>
  <c r="N104" i="4"/>
  <c r="M105" i="4"/>
  <c r="H105" i="4"/>
  <c r="I104" i="4"/>
  <c r="M75" i="4"/>
  <c r="N74" i="4"/>
  <c r="I74" i="4"/>
  <c r="H75" i="4"/>
  <c r="M45" i="4"/>
  <c r="H45" i="4"/>
  <c r="I44" i="4"/>
  <c r="N287" i="2"/>
  <c r="M288" i="2"/>
  <c r="H288" i="2"/>
  <c r="I287" i="2"/>
  <c r="S293" i="2"/>
  <c r="R294" i="2"/>
  <c r="AB288" i="2"/>
  <c r="AC287" i="2"/>
  <c r="W288" i="2"/>
  <c r="X287" i="2"/>
  <c r="H288" i="7" l="1"/>
  <c r="I287" i="7"/>
  <c r="N288" i="7"/>
  <c r="M289" i="7"/>
  <c r="I256" i="7"/>
  <c r="H257" i="7"/>
  <c r="M257" i="7"/>
  <c r="N256" i="7"/>
  <c r="H197" i="7"/>
  <c r="I196" i="7"/>
  <c r="M197" i="7"/>
  <c r="N196" i="7"/>
  <c r="N166" i="7"/>
  <c r="M167" i="7"/>
  <c r="H167" i="7"/>
  <c r="I166" i="7"/>
  <c r="I136" i="7"/>
  <c r="H137" i="7"/>
  <c r="M137" i="7"/>
  <c r="N136" i="7"/>
  <c r="M76" i="7"/>
  <c r="N75" i="7"/>
  <c r="I75" i="7"/>
  <c r="H76" i="7"/>
  <c r="N45" i="7"/>
  <c r="M46" i="7"/>
  <c r="I45" i="7"/>
  <c r="H46" i="7"/>
  <c r="I255" i="4"/>
  <c r="H256" i="4"/>
  <c r="M256" i="4"/>
  <c r="N255" i="4"/>
  <c r="M226" i="4"/>
  <c r="N225" i="4"/>
  <c r="I225" i="4"/>
  <c r="H226" i="4"/>
  <c r="I195" i="4"/>
  <c r="H196" i="4"/>
  <c r="M196" i="4"/>
  <c r="N195" i="4"/>
  <c r="H166" i="4"/>
  <c r="I165" i="4"/>
  <c r="M166" i="4"/>
  <c r="N165" i="4"/>
  <c r="I135" i="4"/>
  <c r="H136" i="4"/>
  <c r="M136" i="4"/>
  <c r="N135" i="4"/>
  <c r="I105" i="4"/>
  <c r="H106" i="4"/>
  <c r="N105" i="4"/>
  <c r="M106" i="4"/>
  <c r="I75" i="4"/>
  <c r="H76" i="4"/>
  <c r="M76" i="4"/>
  <c r="N75" i="4"/>
  <c r="M46" i="4"/>
  <c r="H46" i="4"/>
  <c r="I288" i="2"/>
  <c r="H289" i="2"/>
  <c r="N288" i="2"/>
  <c r="M289" i="2"/>
  <c r="R295" i="2"/>
  <c r="S294" i="2"/>
  <c r="X288" i="2"/>
  <c r="W289" i="2"/>
  <c r="AC288" i="2"/>
  <c r="AB289" i="2"/>
  <c r="M290" i="7" l="1"/>
  <c r="N289" i="7"/>
  <c r="I288" i="7"/>
  <c r="H289" i="7"/>
  <c r="N257" i="7"/>
  <c r="M258" i="7"/>
  <c r="H258" i="7"/>
  <c r="I257" i="7"/>
  <c r="M198" i="7"/>
  <c r="N197" i="7"/>
  <c r="I197" i="7"/>
  <c r="H198" i="7"/>
  <c r="I167" i="7"/>
  <c r="H168" i="7"/>
  <c r="M168" i="7"/>
  <c r="N167" i="7"/>
  <c r="M138" i="7"/>
  <c r="N137" i="7"/>
  <c r="I137" i="7"/>
  <c r="H138" i="7"/>
  <c r="H77" i="7"/>
  <c r="I76" i="7"/>
  <c r="N76" i="7"/>
  <c r="M77" i="7"/>
  <c r="N46" i="7"/>
  <c r="M47" i="7"/>
  <c r="I46" i="7"/>
  <c r="H47" i="7"/>
  <c r="M257" i="4"/>
  <c r="N256" i="4"/>
  <c r="I256" i="4"/>
  <c r="H257" i="4"/>
  <c r="H227" i="4"/>
  <c r="I226" i="4"/>
  <c r="N226" i="4"/>
  <c r="M227" i="4"/>
  <c r="M197" i="4"/>
  <c r="N196" i="4"/>
  <c r="H197" i="4"/>
  <c r="I196" i="4"/>
  <c r="N166" i="4"/>
  <c r="M167" i="4"/>
  <c r="I166" i="4"/>
  <c r="H167" i="4"/>
  <c r="M137" i="4"/>
  <c r="N136" i="4"/>
  <c r="I136" i="4"/>
  <c r="H137" i="4"/>
  <c r="N106" i="4"/>
  <c r="M107" i="4"/>
  <c r="H107" i="4"/>
  <c r="I106" i="4"/>
  <c r="M77" i="4"/>
  <c r="N76" i="4"/>
  <c r="H77" i="4"/>
  <c r="I76" i="4"/>
  <c r="I46" i="4"/>
  <c r="H47" i="4"/>
  <c r="M47" i="4"/>
  <c r="N289" i="2"/>
  <c r="M290" i="2"/>
  <c r="I289" i="2"/>
  <c r="H290" i="2"/>
  <c r="R296" i="2"/>
  <c r="S295" i="2"/>
  <c r="AC289" i="2"/>
  <c r="AB290" i="2"/>
  <c r="W290" i="2"/>
  <c r="X289" i="2"/>
  <c r="I289" i="7" l="1"/>
  <c r="H290" i="7"/>
  <c r="N290" i="7"/>
  <c r="M291" i="7"/>
  <c r="I258" i="7"/>
  <c r="H259" i="7"/>
  <c r="N258" i="7"/>
  <c r="M259" i="7"/>
  <c r="I198" i="7"/>
  <c r="H199" i="7"/>
  <c r="M199" i="7"/>
  <c r="N198" i="7"/>
  <c r="N168" i="7"/>
  <c r="M169" i="7"/>
  <c r="I168" i="7"/>
  <c r="H169" i="7"/>
  <c r="I138" i="7"/>
  <c r="H139" i="7"/>
  <c r="M139" i="7"/>
  <c r="N138" i="7"/>
  <c r="M78" i="7"/>
  <c r="N77" i="7"/>
  <c r="I77" i="7"/>
  <c r="H78" i="7"/>
  <c r="N47" i="7"/>
  <c r="M48" i="7"/>
  <c r="I47" i="7"/>
  <c r="H48" i="7"/>
  <c r="I257" i="4"/>
  <c r="H258" i="4"/>
  <c r="M258" i="4"/>
  <c r="N257" i="4"/>
  <c r="M228" i="4"/>
  <c r="N227" i="4"/>
  <c r="I227" i="4"/>
  <c r="H228" i="4"/>
  <c r="H198" i="4"/>
  <c r="I197" i="4"/>
  <c r="M198" i="4"/>
  <c r="N197" i="4"/>
  <c r="I167" i="4"/>
  <c r="H168" i="4"/>
  <c r="M168" i="4"/>
  <c r="N167" i="4"/>
  <c r="I137" i="4"/>
  <c r="H138" i="4"/>
  <c r="N137" i="4"/>
  <c r="M138" i="4"/>
  <c r="I107" i="4"/>
  <c r="H108" i="4"/>
  <c r="M108" i="4"/>
  <c r="N107" i="4"/>
  <c r="I77" i="4"/>
  <c r="H78" i="4"/>
  <c r="M78" i="4"/>
  <c r="N77" i="4"/>
  <c r="M48" i="4"/>
  <c r="I47" i="4"/>
  <c r="H48" i="4"/>
  <c r="I290" i="2"/>
  <c r="H291" i="2"/>
  <c r="M291" i="2"/>
  <c r="N290" i="2"/>
  <c r="R297" i="2"/>
  <c r="S296" i="2"/>
  <c r="AC290" i="2"/>
  <c r="AB291" i="2"/>
  <c r="X290" i="2"/>
  <c r="W291" i="2"/>
  <c r="M292" i="7" l="1"/>
  <c r="N291" i="7"/>
  <c r="I290" i="7"/>
  <c r="H291" i="7"/>
  <c r="M260" i="7"/>
  <c r="N259" i="7"/>
  <c r="H260" i="7"/>
  <c r="I259" i="7"/>
  <c r="N199" i="7"/>
  <c r="M200" i="7"/>
  <c r="H200" i="7"/>
  <c r="I199" i="7"/>
  <c r="H170" i="7"/>
  <c r="I169" i="7"/>
  <c r="N169" i="7"/>
  <c r="M170" i="7"/>
  <c r="N139" i="7"/>
  <c r="M140" i="7"/>
  <c r="H140" i="7"/>
  <c r="I139" i="7"/>
  <c r="I78" i="7"/>
  <c r="H79" i="7"/>
  <c r="M79" i="7"/>
  <c r="N78" i="7"/>
  <c r="I48" i="7"/>
  <c r="H49" i="7"/>
  <c r="M49" i="7"/>
  <c r="N48" i="7"/>
  <c r="M259" i="4"/>
  <c r="N258" i="4"/>
  <c r="I258" i="4"/>
  <c r="H259" i="4"/>
  <c r="H229" i="4"/>
  <c r="I228" i="4"/>
  <c r="M229" i="4"/>
  <c r="N228" i="4"/>
  <c r="M199" i="4"/>
  <c r="N198" i="4"/>
  <c r="H199" i="4"/>
  <c r="I198" i="4"/>
  <c r="N168" i="4"/>
  <c r="M169" i="4"/>
  <c r="I168" i="4"/>
  <c r="H169" i="4"/>
  <c r="N138" i="4"/>
  <c r="M139" i="4"/>
  <c r="I138" i="4"/>
  <c r="H139" i="4"/>
  <c r="M109" i="4"/>
  <c r="N108" i="4"/>
  <c r="H109" i="4"/>
  <c r="I108" i="4"/>
  <c r="M79" i="4"/>
  <c r="N78" i="4"/>
  <c r="H79" i="4"/>
  <c r="I78" i="4"/>
  <c r="I48" i="4"/>
  <c r="H49" i="4"/>
  <c r="M49" i="4"/>
  <c r="R298" i="2"/>
  <c r="S297" i="2"/>
  <c r="M292" i="2"/>
  <c r="N291" i="2"/>
  <c r="H292" i="2"/>
  <c r="I291" i="2"/>
  <c r="W292" i="2"/>
  <c r="X291" i="2"/>
  <c r="AB292" i="2"/>
  <c r="AC291" i="2"/>
  <c r="I291" i="7" l="1"/>
  <c r="H292" i="7"/>
  <c r="M293" i="7"/>
  <c r="N292" i="7"/>
  <c r="I260" i="7"/>
  <c r="H261" i="7"/>
  <c r="N260" i="7"/>
  <c r="M261" i="7"/>
  <c r="H201" i="7"/>
  <c r="I200" i="7"/>
  <c r="N200" i="7"/>
  <c r="M201" i="7"/>
  <c r="M171" i="7"/>
  <c r="N170" i="7"/>
  <c r="I170" i="7"/>
  <c r="H171" i="7"/>
  <c r="I140" i="7"/>
  <c r="H141" i="7"/>
  <c r="M141" i="7"/>
  <c r="N140" i="7"/>
  <c r="N79" i="7"/>
  <c r="M80" i="7"/>
  <c r="I79" i="7"/>
  <c r="H80" i="7"/>
  <c r="H50" i="7"/>
  <c r="I49" i="7"/>
  <c r="M50" i="7"/>
  <c r="N49" i="7"/>
  <c r="I259" i="4"/>
  <c r="H260" i="4"/>
  <c r="M260" i="4"/>
  <c r="N259" i="4"/>
  <c r="M230" i="4"/>
  <c r="N229" i="4"/>
  <c r="I229" i="4"/>
  <c r="H230" i="4"/>
  <c r="I199" i="4"/>
  <c r="H200" i="4"/>
  <c r="M200" i="4"/>
  <c r="N199" i="4"/>
  <c r="I169" i="4"/>
  <c r="H170" i="4"/>
  <c r="M170" i="4"/>
  <c r="N169" i="4"/>
  <c r="I139" i="4"/>
  <c r="H140" i="4"/>
  <c r="M140" i="4"/>
  <c r="N139" i="4"/>
  <c r="I109" i="4"/>
  <c r="H110" i="4"/>
  <c r="M110" i="4"/>
  <c r="N109" i="4"/>
  <c r="I79" i="4"/>
  <c r="H80" i="4"/>
  <c r="M80" i="4"/>
  <c r="N79" i="4"/>
  <c r="M50" i="4"/>
  <c r="I49" i="4"/>
  <c r="H50" i="4"/>
  <c r="H293" i="2"/>
  <c r="I292" i="2"/>
  <c r="N292" i="2"/>
  <c r="M293" i="2"/>
  <c r="S298" i="2"/>
  <c r="R299" i="2"/>
  <c r="S299" i="2" s="1"/>
  <c r="AB293" i="2"/>
  <c r="AC292" i="2"/>
  <c r="X292" i="2"/>
  <c r="W293" i="2"/>
  <c r="M294" i="7" l="1"/>
  <c r="N293" i="7"/>
  <c r="I292" i="7"/>
  <c r="H293" i="7"/>
  <c r="N261" i="7"/>
  <c r="M262" i="7"/>
  <c r="H262" i="7"/>
  <c r="I261" i="7"/>
  <c r="M202" i="7"/>
  <c r="N201" i="7"/>
  <c r="H202" i="7"/>
  <c r="I201" i="7"/>
  <c r="H172" i="7"/>
  <c r="I171" i="7"/>
  <c r="N171" i="7"/>
  <c r="M172" i="7"/>
  <c r="M142" i="7"/>
  <c r="N141" i="7"/>
  <c r="I141" i="7"/>
  <c r="H142" i="7"/>
  <c r="H81" i="7"/>
  <c r="I80" i="7"/>
  <c r="M81" i="7"/>
  <c r="N80" i="7"/>
  <c r="M51" i="7"/>
  <c r="N50" i="7"/>
  <c r="I50" i="7"/>
  <c r="H51" i="7"/>
  <c r="M261" i="4"/>
  <c r="N260" i="4"/>
  <c r="H261" i="4"/>
  <c r="I260" i="4"/>
  <c r="H231" i="4"/>
  <c r="I230" i="4"/>
  <c r="M231" i="4"/>
  <c r="N230" i="4"/>
  <c r="M201" i="4"/>
  <c r="N200" i="4"/>
  <c r="I200" i="4"/>
  <c r="H201" i="4"/>
  <c r="N170" i="4"/>
  <c r="M171" i="4"/>
  <c r="I170" i="4"/>
  <c r="H171" i="4"/>
  <c r="M141" i="4"/>
  <c r="N140" i="4"/>
  <c r="H141" i="4"/>
  <c r="I140" i="4"/>
  <c r="N110" i="4"/>
  <c r="M111" i="4"/>
  <c r="H111" i="4"/>
  <c r="I110" i="4"/>
  <c r="M81" i="4"/>
  <c r="N80" i="4"/>
  <c r="H81" i="4"/>
  <c r="I80" i="4"/>
  <c r="I50" i="4"/>
  <c r="H51" i="4"/>
  <c r="M51" i="4"/>
  <c r="M294" i="2"/>
  <c r="N293" i="2"/>
  <c r="I293" i="2"/>
  <c r="H294" i="2"/>
  <c r="W294" i="2"/>
  <c r="X293" i="2"/>
  <c r="AB294" i="2"/>
  <c r="AC293" i="2"/>
  <c r="I293" i="7" l="1"/>
  <c r="H294" i="7"/>
  <c r="M295" i="7"/>
  <c r="N294" i="7"/>
  <c r="H263" i="7"/>
  <c r="I262" i="7"/>
  <c r="N262" i="7"/>
  <c r="M263" i="7"/>
  <c r="I202" i="7"/>
  <c r="H203" i="7"/>
  <c r="M203" i="7"/>
  <c r="N202" i="7"/>
  <c r="M173" i="7"/>
  <c r="N172" i="7"/>
  <c r="I172" i="7"/>
  <c r="H173" i="7"/>
  <c r="I142" i="7"/>
  <c r="H143" i="7"/>
  <c r="M143" i="7"/>
  <c r="N142" i="7"/>
  <c r="M82" i="7"/>
  <c r="N81" i="7"/>
  <c r="I81" i="7"/>
  <c r="H82" i="7"/>
  <c r="M52" i="7"/>
  <c r="N51" i="7"/>
  <c r="I51" i="7"/>
  <c r="H52" i="7"/>
  <c r="I261" i="4"/>
  <c r="H262" i="4"/>
  <c r="M262" i="4"/>
  <c r="N261" i="4"/>
  <c r="N231" i="4"/>
  <c r="M232" i="4"/>
  <c r="I231" i="4"/>
  <c r="H232" i="4"/>
  <c r="I201" i="4"/>
  <c r="H202" i="4"/>
  <c r="M202" i="4"/>
  <c r="N201" i="4"/>
  <c r="I171" i="4"/>
  <c r="H172" i="4"/>
  <c r="M172" i="4"/>
  <c r="N171" i="4"/>
  <c r="H142" i="4"/>
  <c r="I141" i="4"/>
  <c r="M142" i="4"/>
  <c r="N141" i="4"/>
  <c r="I111" i="4"/>
  <c r="H112" i="4"/>
  <c r="M112" i="4"/>
  <c r="N111" i="4"/>
  <c r="H82" i="4"/>
  <c r="I81" i="4"/>
  <c r="M82" i="4"/>
  <c r="N81" i="4"/>
  <c r="M52" i="4"/>
  <c r="H52" i="4"/>
  <c r="I51" i="4"/>
  <c r="I294" i="2"/>
  <c r="H295" i="2"/>
  <c r="M295" i="2"/>
  <c r="N294" i="2"/>
  <c r="AB295" i="2"/>
  <c r="AC294" i="2"/>
  <c r="X294" i="2"/>
  <c r="W295" i="2"/>
  <c r="M296" i="7" l="1"/>
  <c r="N295" i="7"/>
  <c r="I294" i="7"/>
  <c r="H295" i="7"/>
  <c r="M264" i="7"/>
  <c r="N263" i="7"/>
  <c r="H264" i="7"/>
  <c r="I263" i="7"/>
  <c r="N203" i="7"/>
  <c r="M204" i="7"/>
  <c r="H204" i="7"/>
  <c r="I203" i="7"/>
  <c r="H174" i="7"/>
  <c r="I173" i="7"/>
  <c r="N173" i="7"/>
  <c r="M174" i="7"/>
  <c r="M144" i="7"/>
  <c r="N143" i="7"/>
  <c r="H144" i="7"/>
  <c r="I143" i="7"/>
  <c r="I82" i="7"/>
  <c r="H83" i="7"/>
  <c r="M83" i="7"/>
  <c r="N82" i="7"/>
  <c r="I52" i="7"/>
  <c r="H53" i="7"/>
  <c r="M53" i="7"/>
  <c r="N52" i="7"/>
  <c r="M263" i="4"/>
  <c r="N262" i="4"/>
  <c r="H263" i="4"/>
  <c r="I262" i="4"/>
  <c r="H233" i="4"/>
  <c r="I232" i="4"/>
  <c r="N232" i="4"/>
  <c r="M233" i="4"/>
  <c r="M203" i="4"/>
  <c r="N202" i="4"/>
  <c r="I202" i="4"/>
  <c r="H203" i="4"/>
  <c r="N172" i="4"/>
  <c r="M173" i="4"/>
  <c r="I172" i="4"/>
  <c r="H173" i="4"/>
  <c r="M143" i="4"/>
  <c r="N142" i="4"/>
  <c r="H143" i="4"/>
  <c r="I142" i="4"/>
  <c r="M113" i="4"/>
  <c r="N112" i="4"/>
  <c r="H113" i="4"/>
  <c r="I112" i="4"/>
  <c r="M83" i="4"/>
  <c r="N82" i="4"/>
  <c r="I82" i="4"/>
  <c r="H83" i="4"/>
  <c r="H53" i="4"/>
  <c r="I52" i="4"/>
  <c r="M53" i="4"/>
  <c r="M296" i="2"/>
  <c r="N295" i="2"/>
  <c r="I295" i="2"/>
  <c r="H296" i="2"/>
  <c r="W296" i="2"/>
  <c r="X295" i="2"/>
  <c r="AC295" i="2"/>
  <c r="AB296" i="2"/>
  <c r="H296" i="7" l="1"/>
  <c r="I295" i="7"/>
  <c r="M297" i="7"/>
  <c r="N296" i="7"/>
  <c r="I264" i="7"/>
  <c r="H265" i="7"/>
  <c r="M265" i="7"/>
  <c r="N264" i="7"/>
  <c r="I204" i="7"/>
  <c r="H205" i="7"/>
  <c r="N204" i="7"/>
  <c r="M205" i="7"/>
  <c r="M175" i="7"/>
  <c r="N174" i="7"/>
  <c r="I174" i="7"/>
  <c r="H175" i="7"/>
  <c r="H145" i="7"/>
  <c r="I144" i="7"/>
  <c r="N144" i="7"/>
  <c r="M145" i="7"/>
  <c r="M84" i="7"/>
  <c r="N83" i="7"/>
  <c r="I83" i="7"/>
  <c r="H84" i="7"/>
  <c r="M54" i="7"/>
  <c r="N53" i="7"/>
  <c r="H54" i="7"/>
  <c r="I53" i="7"/>
  <c r="H264" i="4"/>
  <c r="I263" i="4"/>
  <c r="M264" i="4"/>
  <c r="N263" i="4"/>
  <c r="M234" i="4"/>
  <c r="N233" i="4"/>
  <c r="I233" i="4"/>
  <c r="H234" i="4"/>
  <c r="I203" i="4"/>
  <c r="H204" i="4"/>
  <c r="N203" i="4"/>
  <c r="M204" i="4"/>
  <c r="I173" i="4"/>
  <c r="H174" i="4"/>
  <c r="M174" i="4"/>
  <c r="N173" i="4"/>
  <c r="I143" i="4"/>
  <c r="H144" i="4"/>
  <c r="M144" i="4"/>
  <c r="N143" i="4"/>
  <c r="I113" i="4"/>
  <c r="H114" i="4"/>
  <c r="N113" i="4"/>
  <c r="M114" i="4"/>
  <c r="I83" i="4"/>
  <c r="H84" i="4"/>
  <c r="M84" i="4"/>
  <c r="N83" i="4"/>
  <c r="M54" i="4"/>
  <c r="I53" i="4"/>
  <c r="H54" i="4"/>
  <c r="I296" i="2"/>
  <c r="H297" i="2"/>
  <c r="M297" i="2"/>
  <c r="N296" i="2"/>
  <c r="AB297" i="2"/>
  <c r="AC296" i="2"/>
  <c r="W297" i="2"/>
  <c r="X296" i="2"/>
  <c r="M298" i="7" l="1"/>
  <c r="N297" i="7"/>
  <c r="I296" i="7"/>
  <c r="H297" i="7"/>
  <c r="M266" i="7"/>
  <c r="N265" i="7"/>
  <c r="H266" i="7"/>
  <c r="I265" i="7"/>
  <c r="N205" i="7"/>
  <c r="M206" i="7"/>
  <c r="I205" i="7"/>
  <c r="H206" i="7"/>
  <c r="H176" i="7"/>
  <c r="I175" i="7"/>
  <c r="N175" i="7"/>
  <c r="M176" i="7"/>
  <c r="M146" i="7"/>
  <c r="N145" i="7"/>
  <c r="H146" i="7"/>
  <c r="I145" i="7"/>
  <c r="H85" i="7"/>
  <c r="I84" i="7"/>
  <c r="N84" i="7"/>
  <c r="M85" i="7"/>
  <c r="H55" i="7"/>
  <c r="I54" i="7"/>
  <c r="M55" i="7"/>
  <c r="N54" i="7"/>
  <c r="N264" i="4"/>
  <c r="M265" i="4"/>
  <c r="H265" i="4"/>
  <c r="I264" i="4"/>
  <c r="H235" i="4"/>
  <c r="I234" i="4"/>
  <c r="N234" i="4"/>
  <c r="M235" i="4"/>
  <c r="M205" i="4"/>
  <c r="N204" i="4"/>
  <c r="H205" i="4"/>
  <c r="I204" i="4"/>
  <c r="N174" i="4"/>
  <c r="M175" i="4"/>
  <c r="I174" i="4"/>
  <c r="H175" i="4"/>
  <c r="M145" i="4"/>
  <c r="N144" i="4"/>
  <c r="H145" i="4"/>
  <c r="I144" i="4"/>
  <c r="N114" i="4"/>
  <c r="M115" i="4"/>
  <c r="H115" i="4"/>
  <c r="I114" i="4"/>
  <c r="M85" i="4"/>
  <c r="N84" i="4"/>
  <c r="H85" i="4"/>
  <c r="I84" i="4"/>
  <c r="H55" i="4"/>
  <c r="I54" i="4"/>
  <c r="M55" i="4"/>
  <c r="N297" i="2"/>
  <c r="M298" i="2"/>
  <c r="H298" i="2"/>
  <c r="I297" i="2"/>
  <c r="X297" i="2"/>
  <c r="W298" i="2"/>
  <c r="AC297" i="2"/>
  <c r="AB298" i="2"/>
  <c r="I297" i="7" l="1"/>
  <c r="H298" i="7"/>
  <c r="N298" i="7"/>
  <c r="M299" i="7"/>
  <c r="N299" i="7" s="1"/>
  <c r="I266" i="7"/>
  <c r="H267" i="7"/>
  <c r="M267" i="7"/>
  <c r="N266" i="7"/>
  <c r="M207" i="7"/>
  <c r="N206" i="7"/>
  <c r="H207" i="7"/>
  <c r="I206" i="7"/>
  <c r="M177" i="7"/>
  <c r="N176" i="7"/>
  <c r="I176" i="7"/>
  <c r="H177" i="7"/>
  <c r="I146" i="7"/>
  <c r="H147" i="7"/>
  <c r="M147" i="7"/>
  <c r="N146" i="7"/>
  <c r="M86" i="7"/>
  <c r="N85" i="7"/>
  <c r="H86" i="7"/>
  <c r="I85" i="7"/>
  <c r="N55" i="7"/>
  <c r="M56" i="7"/>
  <c r="H56" i="7"/>
  <c r="I55" i="7"/>
  <c r="I265" i="4"/>
  <c r="H266" i="4"/>
  <c r="N265" i="4"/>
  <c r="M266" i="4"/>
  <c r="N235" i="4"/>
  <c r="M236" i="4"/>
  <c r="I235" i="4"/>
  <c r="H236" i="4"/>
  <c r="I205" i="4"/>
  <c r="H206" i="4"/>
  <c r="M206" i="4"/>
  <c r="N205" i="4"/>
  <c r="H176" i="4"/>
  <c r="I175" i="4"/>
  <c r="N175" i="4"/>
  <c r="M176" i="4"/>
  <c r="I145" i="4"/>
  <c r="H146" i="4"/>
  <c r="N145" i="4"/>
  <c r="M146" i="4"/>
  <c r="I115" i="4"/>
  <c r="H116" i="4"/>
  <c r="M116" i="4"/>
  <c r="N115" i="4"/>
  <c r="N85" i="4"/>
  <c r="M86" i="4"/>
  <c r="I85" i="4"/>
  <c r="H86" i="4"/>
  <c r="M56" i="4"/>
  <c r="I55" i="4"/>
  <c r="H56" i="4"/>
  <c r="H299" i="2"/>
  <c r="I299" i="2" s="1"/>
  <c r="I298" i="2"/>
  <c r="N298" i="2"/>
  <c r="M299" i="2"/>
  <c r="N299" i="2" s="1"/>
  <c r="AB299" i="2"/>
  <c r="AC299" i="2" s="1"/>
  <c r="AC298" i="2"/>
  <c r="X298" i="2"/>
  <c r="W299" i="2"/>
  <c r="X299" i="2" s="1"/>
  <c r="H299" i="7" l="1"/>
  <c r="I299" i="7" s="1"/>
  <c r="I298" i="7"/>
  <c r="N267" i="7"/>
  <c r="M268" i="7"/>
  <c r="H268" i="7"/>
  <c r="I267" i="7"/>
  <c r="I207" i="7"/>
  <c r="H208" i="7"/>
  <c r="N207" i="7"/>
  <c r="M208" i="7"/>
  <c r="H178" i="7"/>
  <c r="I177" i="7"/>
  <c r="N177" i="7"/>
  <c r="M178" i="7"/>
  <c r="M148" i="7"/>
  <c r="N147" i="7"/>
  <c r="I147" i="7"/>
  <c r="H148" i="7"/>
  <c r="H87" i="7"/>
  <c r="I86" i="7"/>
  <c r="M87" i="7"/>
  <c r="N86" i="7"/>
  <c r="I56" i="7"/>
  <c r="H57" i="7"/>
  <c r="M57" i="7"/>
  <c r="N56" i="7"/>
  <c r="M267" i="4"/>
  <c r="N266" i="4"/>
  <c r="I266" i="4"/>
  <c r="H267" i="4"/>
  <c r="H237" i="4"/>
  <c r="I236" i="4"/>
  <c r="M237" i="4"/>
  <c r="N236" i="4"/>
  <c r="M207" i="4"/>
  <c r="N206" i="4"/>
  <c r="H207" i="4"/>
  <c r="I206" i="4"/>
  <c r="N176" i="4"/>
  <c r="M177" i="4"/>
  <c r="I176" i="4"/>
  <c r="H177" i="4"/>
  <c r="M147" i="4"/>
  <c r="N146" i="4"/>
  <c r="I146" i="4"/>
  <c r="H147" i="4"/>
  <c r="N116" i="4"/>
  <c r="M117" i="4"/>
  <c r="H117" i="4"/>
  <c r="I116" i="4"/>
  <c r="I86" i="4"/>
  <c r="H87" i="4"/>
  <c r="N86" i="4"/>
  <c r="M87" i="4"/>
  <c r="I56" i="4"/>
  <c r="H57" i="4"/>
  <c r="M57" i="4"/>
  <c r="I268" i="7" l="1"/>
  <c r="H269" i="7"/>
  <c r="I269" i="7" s="1"/>
  <c r="N268" i="7"/>
  <c r="M269" i="7"/>
  <c r="N269" i="7" s="1"/>
  <c r="I208" i="7"/>
  <c r="H209" i="7"/>
  <c r="I209" i="7" s="1"/>
  <c r="N208" i="7"/>
  <c r="M209" i="7"/>
  <c r="N209" i="7" s="1"/>
  <c r="M179" i="7"/>
  <c r="N179" i="7" s="1"/>
  <c r="N178" i="7"/>
  <c r="I178" i="7"/>
  <c r="H179" i="7"/>
  <c r="I179" i="7" s="1"/>
  <c r="I148" i="7"/>
  <c r="H149" i="7"/>
  <c r="I149" i="7" s="1"/>
  <c r="M149" i="7"/>
  <c r="N149" i="7" s="1"/>
  <c r="N148" i="7"/>
  <c r="N87" i="7"/>
  <c r="M88" i="7"/>
  <c r="N88" i="7" s="1"/>
  <c r="I87" i="7"/>
  <c r="H88" i="7"/>
  <c r="I88" i="7" s="1"/>
  <c r="N57" i="7"/>
  <c r="M58" i="7"/>
  <c r="N58" i="7" s="1"/>
  <c r="H58" i="7"/>
  <c r="I58" i="7" s="1"/>
  <c r="I57" i="7"/>
  <c r="I267" i="4"/>
  <c r="H268" i="4"/>
  <c r="I268" i="4" s="1"/>
  <c r="N267" i="4"/>
  <c r="M268" i="4"/>
  <c r="N268" i="4" s="1"/>
  <c r="M238" i="4"/>
  <c r="N238" i="4" s="1"/>
  <c r="N237" i="4"/>
  <c r="I237" i="4"/>
  <c r="H238" i="4"/>
  <c r="I238" i="4" s="1"/>
  <c r="I207" i="4"/>
  <c r="H208" i="4"/>
  <c r="I208" i="4" s="1"/>
  <c r="N207" i="4"/>
  <c r="M208" i="4"/>
  <c r="N208" i="4" s="1"/>
  <c r="H178" i="4"/>
  <c r="I178" i="4" s="1"/>
  <c r="I177" i="4"/>
  <c r="M178" i="4"/>
  <c r="N178" i="4" s="1"/>
  <c r="N177" i="4"/>
  <c r="H148" i="4"/>
  <c r="I148" i="4" s="1"/>
  <c r="I147" i="4"/>
  <c r="M148" i="4"/>
  <c r="N148" i="4" s="1"/>
  <c r="N147" i="4"/>
  <c r="I117" i="4"/>
  <c r="H118" i="4"/>
  <c r="I118" i="4" s="1"/>
  <c r="N117" i="4"/>
  <c r="M118" i="4"/>
  <c r="N118" i="4" s="1"/>
  <c r="M88" i="4"/>
  <c r="N88" i="4" s="1"/>
  <c r="N87" i="4"/>
  <c r="I87" i="4"/>
  <c r="H88" i="4"/>
  <c r="I88" i="4" s="1"/>
  <c r="M58" i="4"/>
  <c r="H58" i="4"/>
  <c r="I58" i="4" s="1"/>
  <c r="I57" i="4"/>
  <c r="G217" i="2" l="1"/>
  <c r="G218" i="2" s="1"/>
  <c r="G219" i="2" s="1"/>
  <c r="G220" i="2" s="1"/>
  <c r="H217" i="2"/>
  <c r="H218" i="2" s="1"/>
  <c r="H219" i="2" s="1"/>
  <c r="H220" i="2" s="1"/>
  <c r="H221" i="2" s="1"/>
  <c r="L217" i="2"/>
  <c r="L218" i="2" s="1"/>
  <c r="L219" i="2" s="1"/>
  <c r="L220" i="2" s="1"/>
  <c r="M217" i="2"/>
  <c r="M218" i="2" s="1"/>
  <c r="M219" i="2" s="1"/>
  <c r="M220" i="2" s="1"/>
  <c r="M221" i="2" s="1"/>
  <c r="Q217" i="2"/>
  <c r="Q218" i="2" s="1"/>
  <c r="Q219" i="2" s="1"/>
  <c r="Q220" i="2" s="1"/>
  <c r="Q221" i="2" s="1"/>
  <c r="Q222" i="2" s="1"/>
  <c r="Q223" i="2" s="1"/>
  <c r="Q224" i="2" s="1"/>
  <c r="Q225" i="2" s="1"/>
  <c r="Q226" i="2" s="1"/>
  <c r="Q227" i="2" s="1"/>
  <c r="Q228" i="2" s="1"/>
  <c r="Q229" i="2" s="1"/>
  <c r="Q230" i="2" s="1"/>
  <c r="Q231" i="2" s="1"/>
  <c r="Q232" i="2" s="1"/>
  <c r="Q233" i="2" s="1"/>
  <c r="Q234" i="2" s="1"/>
  <c r="Q235" i="2" s="1"/>
  <c r="Q236" i="2" s="1"/>
  <c r="Q237" i="2" s="1"/>
  <c r="Q238" i="2" s="1"/>
  <c r="Q239" i="2" s="1"/>
  <c r="R217" i="2"/>
  <c r="R218" i="2" s="1"/>
  <c r="R219" i="2" s="1"/>
  <c r="R220" i="2" s="1"/>
  <c r="R221" i="2" s="1"/>
  <c r="R222" i="2" s="1"/>
  <c r="R223" i="2" s="1"/>
  <c r="R224" i="2" s="1"/>
  <c r="R225" i="2" s="1"/>
  <c r="R226" i="2" s="1"/>
  <c r="R227" i="2" s="1"/>
  <c r="E221" i="2"/>
  <c r="J221" i="2"/>
  <c r="E222" i="2"/>
  <c r="J222" i="2"/>
  <c r="E223" i="2"/>
  <c r="J223" i="2"/>
  <c r="E224" i="2"/>
  <c r="J224" i="2"/>
  <c r="E225" i="2"/>
  <c r="J225" i="2"/>
  <c r="E226" i="2"/>
  <c r="J226" i="2"/>
  <c r="E227" i="2"/>
  <c r="J227" i="2"/>
  <c r="E228" i="2"/>
  <c r="J228" i="2"/>
  <c r="F239" i="2"/>
  <c r="K239" i="2"/>
  <c r="P239" i="2"/>
  <c r="T239" i="2"/>
  <c r="U239" i="2"/>
  <c r="J162" i="2"/>
  <c r="J163" i="2"/>
  <c r="J164" i="2"/>
  <c r="J165" i="2"/>
  <c r="J166" i="2"/>
  <c r="J167" i="2"/>
  <c r="J168" i="2"/>
  <c r="J161" i="2"/>
  <c r="E162" i="2"/>
  <c r="E163" i="2"/>
  <c r="E164" i="2"/>
  <c r="E165" i="2"/>
  <c r="E166" i="2"/>
  <c r="E167" i="2"/>
  <c r="E168" i="2"/>
  <c r="E161" i="2"/>
  <c r="G127" i="2"/>
  <c r="G128" i="2" s="1"/>
  <c r="G129" i="2" s="1"/>
  <c r="G130" i="2" s="1"/>
  <c r="H127" i="2"/>
  <c r="H128" i="2" s="1"/>
  <c r="H129" i="2" s="1"/>
  <c r="H130" i="2" s="1"/>
  <c r="H131" i="2" s="1"/>
  <c r="L127" i="2"/>
  <c r="L128" i="2" s="1"/>
  <c r="L129" i="2" s="1"/>
  <c r="L130" i="2" s="1"/>
  <c r="M127" i="2"/>
  <c r="M128" i="2" s="1"/>
  <c r="M129" i="2" s="1"/>
  <c r="M130" i="2" s="1"/>
  <c r="M131" i="2" s="1"/>
  <c r="Q127" i="2"/>
  <c r="Q128" i="2" s="1"/>
  <c r="Q129" i="2" s="1"/>
  <c r="Q130" i="2" s="1"/>
  <c r="Q131" i="2" s="1"/>
  <c r="Q132" i="2" s="1"/>
  <c r="Q133" i="2" s="1"/>
  <c r="Q134" i="2" s="1"/>
  <c r="Q135" i="2" s="1"/>
  <c r="Q136" i="2" s="1"/>
  <c r="Q138" i="2" s="1"/>
  <c r="Q139" i="2" s="1"/>
  <c r="Q140" i="2" s="1"/>
  <c r="Q141" i="2" s="1"/>
  <c r="Q142" i="2" s="1"/>
  <c r="Q143" i="2" s="1"/>
  <c r="Q144" i="2" s="1"/>
  <c r="Q145" i="2" s="1"/>
  <c r="Q146" i="2" s="1"/>
  <c r="Q147" i="2" s="1"/>
  <c r="Q148" i="2" s="1"/>
  <c r="Q149" i="2" s="1"/>
  <c r="R127" i="2"/>
  <c r="R128" i="2" s="1"/>
  <c r="R129" i="2" s="1"/>
  <c r="R130" i="2" s="1"/>
  <c r="R131" i="2" s="1"/>
  <c r="R132" i="2" s="1"/>
  <c r="R133" i="2" s="1"/>
  <c r="R134" i="2" s="1"/>
  <c r="R135" i="2" s="1"/>
  <c r="R136" i="2" s="1"/>
  <c r="V127" i="2"/>
  <c r="V128" i="2" s="1"/>
  <c r="V129" i="2" s="1"/>
  <c r="V130" i="2" s="1"/>
  <c r="W127" i="2"/>
  <c r="W128" i="2" s="1"/>
  <c r="W129" i="2" s="1"/>
  <c r="W130" i="2" s="1"/>
  <c r="W131" i="2" s="1"/>
  <c r="AA127" i="2"/>
  <c r="AA128" i="2" s="1"/>
  <c r="AA129" i="2" s="1"/>
  <c r="AA130" i="2" s="1"/>
  <c r="AB127" i="2"/>
  <c r="AB128" i="2" s="1"/>
  <c r="AB129" i="2" s="1"/>
  <c r="AB130" i="2" s="1"/>
  <c r="AB131" i="2" s="1"/>
  <c r="F149" i="2"/>
  <c r="K149" i="2"/>
  <c r="P149" i="2"/>
  <c r="U149" i="2"/>
  <c r="Z149" i="2"/>
  <c r="AD149" i="2"/>
  <c r="AE149" i="2"/>
  <c r="Y102" i="2"/>
  <c r="Y103" i="2"/>
  <c r="Y104" i="2"/>
  <c r="Y105" i="2"/>
  <c r="Y106" i="2"/>
  <c r="Y107" i="2"/>
  <c r="Y108" i="2"/>
  <c r="Y109" i="2"/>
  <c r="Y110" i="2"/>
  <c r="Y111" i="2"/>
  <c r="Y112" i="2"/>
  <c r="Y101" i="2"/>
  <c r="T102" i="2"/>
  <c r="T103" i="2"/>
  <c r="T104" i="2"/>
  <c r="T105" i="2"/>
  <c r="T106" i="2"/>
  <c r="T107" i="2"/>
  <c r="T108" i="2"/>
  <c r="T109" i="2"/>
  <c r="T110" i="2"/>
  <c r="T111" i="2"/>
  <c r="T112" i="2"/>
  <c r="T101" i="2"/>
  <c r="L221" i="2" l="1"/>
  <c r="L222" i="2" s="1"/>
  <c r="L223" i="2" s="1"/>
  <c r="L224" i="2" s="1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G131" i="2"/>
  <c r="M222" i="2"/>
  <c r="G221" i="2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H222" i="2"/>
  <c r="R228" i="2"/>
  <c r="G132" i="2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AA131" i="2"/>
  <c r="AA132" i="2" s="1"/>
  <c r="AA133" i="2" s="1"/>
  <c r="AA134" i="2" s="1"/>
  <c r="AA135" i="2" s="1"/>
  <c r="AA136" i="2" s="1"/>
  <c r="AA137" i="2" s="1"/>
  <c r="AA138" i="2" s="1"/>
  <c r="AA139" i="2" s="1"/>
  <c r="AA140" i="2" s="1"/>
  <c r="AA141" i="2" s="1"/>
  <c r="AA142" i="2" s="1"/>
  <c r="AA143" i="2" s="1"/>
  <c r="AA144" i="2" s="1"/>
  <c r="AA145" i="2" s="1"/>
  <c r="AA146" i="2" s="1"/>
  <c r="AA147" i="2" s="1"/>
  <c r="AA148" i="2" s="1"/>
  <c r="AA149" i="2" s="1"/>
  <c r="AB132" i="2"/>
  <c r="AB133" i="2" s="1"/>
  <c r="V131" i="2"/>
  <c r="V132" i="2" s="1"/>
  <c r="V133" i="2" s="1"/>
  <c r="V134" i="2" s="1"/>
  <c r="V135" i="2" s="1"/>
  <c r="V136" i="2" s="1"/>
  <c r="V137" i="2" s="1"/>
  <c r="V138" i="2" s="1"/>
  <c r="V139" i="2" s="1"/>
  <c r="V140" i="2" s="1"/>
  <c r="V141" i="2" s="1"/>
  <c r="V142" i="2" s="1"/>
  <c r="V143" i="2" s="1"/>
  <c r="V144" i="2" s="1"/>
  <c r="V145" i="2" s="1"/>
  <c r="V146" i="2" s="1"/>
  <c r="V147" i="2" s="1"/>
  <c r="V148" i="2" s="1"/>
  <c r="V149" i="2" s="1"/>
  <c r="L131" i="2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M132" i="2"/>
  <c r="W132" i="2"/>
  <c r="R138" i="2"/>
  <c r="I131" i="2"/>
  <c r="H132" i="2"/>
  <c r="N221" i="2" l="1"/>
  <c r="I221" i="2"/>
  <c r="M223" i="2"/>
  <c r="N222" i="2"/>
  <c r="AC131" i="2"/>
  <c r="R229" i="2"/>
  <c r="S228" i="2"/>
  <c r="H223" i="2"/>
  <c r="I222" i="2"/>
  <c r="N131" i="2"/>
  <c r="AC132" i="2"/>
  <c r="X131" i="2"/>
  <c r="AC133" i="2"/>
  <c r="AB134" i="2"/>
  <c r="X132" i="2"/>
  <c r="W133" i="2"/>
  <c r="M133" i="2"/>
  <c r="N132" i="2"/>
  <c r="I132" i="2"/>
  <c r="H133" i="2"/>
  <c r="R139" i="2"/>
  <c r="M224" i="2" l="1"/>
  <c r="N223" i="2"/>
  <c r="H224" i="2"/>
  <c r="I223" i="2"/>
  <c r="R230" i="2"/>
  <c r="S229" i="2"/>
  <c r="R140" i="2"/>
  <c r="M134" i="2"/>
  <c r="N133" i="2"/>
  <c r="X133" i="2"/>
  <c r="W134" i="2"/>
  <c r="I133" i="2"/>
  <c r="H134" i="2"/>
  <c r="AB135" i="2"/>
  <c r="AC134" i="2"/>
  <c r="N224" i="2" l="1"/>
  <c r="M225" i="2"/>
  <c r="H225" i="2"/>
  <c r="I224" i="2"/>
  <c r="S230" i="2"/>
  <c r="R231" i="2"/>
  <c r="AB136" i="2"/>
  <c r="AC135" i="2"/>
  <c r="H135" i="2"/>
  <c r="I134" i="2"/>
  <c r="W135" i="2"/>
  <c r="X134" i="2"/>
  <c r="M135" i="2"/>
  <c r="N134" i="2"/>
  <c r="R141" i="2"/>
  <c r="M226" i="2" l="1"/>
  <c r="N225" i="2"/>
  <c r="S231" i="2"/>
  <c r="R232" i="2"/>
  <c r="I225" i="2"/>
  <c r="H226" i="2"/>
  <c r="S141" i="2"/>
  <c r="R142" i="2"/>
  <c r="M136" i="2"/>
  <c r="N135" i="2"/>
  <c r="X135" i="2"/>
  <c r="W136" i="2"/>
  <c r="I135" i="2"/>
  <c r="H136" i="2"/>
  <c r="AC136" i="2"/>
  <c r="AB137" i="2"/>
  <c r="M227" i="2" l="1"/>
  <c r="N226" i="2"/>
  <c r="H227" i="2"/>
  <c r="I226" i="2"/>
  <c r="R233" i="2"/>
  <c r="S232" i="2"/>
  <c r="H137" i="2"/>
  <c r="I136" i="2"/>
  <c r="M137" i="2"/>
  <c r="N136" i="2"/>
  <c r="X136" i="2"/>
  <c r="R143" i="2"/>
  <c r="S142" i="2"/>
  <c r="AC137" i="2"/>
  <c r="AB138" i="2"/>
  <c r="N227" i="2" l="1"/>
  <c r="M228" i="2"/>
  <c r="S233" i="2"/>
  <c r="R234" i="2"/>
  <c r="H228" i="2"/>
  <c r="I227" i="2"/>
  <c r="X137" i="2"/>
  <c r="W138" i="2"/>
  <c r="AC138" i="2"/>
  <c r="AB139" i="2"/>
  <c r="S143" i="2"/>
  <c r="R144" i="2"/>
  <c r="M138" i="2"/>
  <c r="N137" i="2"/>
  <c r="I137" i="2"/>
  <c r="H138" i="2"/>
  <c r="M229" i="2" l="1"/>
  <c r="N228" i="2"/>
  <c r="H229" i="2"/>
  <c r="I228" i="2"/>
  <c r="S234" i="2"/>
  <c r="R235" i="2"/>
  <c r="AC139" i="2"/>
  <c r="AB140" i="2"/>
  <c r="H139" i="2"/>
  <c r="I138" i="2"/>
  <c r="R145" i="2"/>
  <c r="S144" i="2"/>
  <c r="X138" i="2"/>
  <c r="W139" i="2"/>
  <c r="N138" i="2"/>
  <c r="M139" i="2"/>
  <c r="N229" i="2" l="1"/>
  <c r="M230" i="2"/>
  <c r="S235" i="2"/>
  <c r="R236" i="2"/>
  <c r="I229" i="2"/>
  <c r="H230" i="2"/>
  <c r="S145" i="2"/>
  <c r="R146" i="2"/>
  <c r="N139" i="2"/>
  <c r="M140" i="2"/>
  <c r="W140" i="2"/>
  <c r="X139" i="2"/>
  <c r="I139" i="2"/>
  <c r="H140" i="2"/>
  <c r="AB141" i="2"/>
  <c r="AC140" i="2"/>
  <c r="N230" i="2" l="1"/>
  <c r="M231" i="2"/>
  <c r="R237" i="2"/>
  <c r="S236" i="2"/>
  <c r="I230" i="2"/>
  <c r="H231" i="2"/>
  <c r="W141" i="2"/>
  <c r="X140" i="2"/>
  <c r="AB142" i="2"/>
  <c r="AC141" i="2"/>
  <c r="M141" i="2"/>
  <c r="N140" i="2"/>
  <c r="H141" i="2"/>
  <c r="I140" i="2"/>
  <c r="R147" i="2"/>
  <c r="S146" i="2"/>
  <c r="M232" i="2" l="1"/>
  <c r="N231" i="2"/>
  <c r="H232" i="2"/>
  <c r="I231" i="2"/>
  <c r="R238" i="2"/>
  <c r="S237" i="2"/>
  <c r="R148" i="2"/>
  <c r="S147" i="2"/>
  <c r="H142" i="2"/>
  <c r="I141" i="2"/>
  <c r="N141" i="2"/>
  <c r="M142" i="2"/>
  <c r="AC142" i="2"/>
  <c r="AB143" i="2"/>
  <c r="W142" i="2"/>
  <c r="X141" i="2"/>
  <c r="N232" i="2" l="1"/>
  <c r="M233" i="2"/>
  <c r="S238" i="2"/>
  <c r="R239" i="2"/>
  <c r="S239" i="2" s="1"/>
  <c r="I232" i="2"/>
  <c r="H233" i="2"/>
  <c r="AB144" i="2"/>
  <c r="AC143" i="2"/>
  <c r="X142" i="2"/>
  <c r="W143" i="2"/>
  <c r="H143" i="2"/>
  <c r="I142" i="2"/>
  <c r="N142" i="2"/>
  <c r="M143" i="2"/>
  <c r="R149" i="2"/>
  <c r="S149" i="2" s="1"/>
  <c r="S148" i="2"/>
  <c r="N233" i="2" l="1"/>
  <c r="M234" i="2"/>
  <c r="I233" i="2"/>
  <c r="H234" i="2"/>
  <c r="N143" i="2"/>
  <c r="M144" i="2"/>
  <c r="H144" i="2"/>
  <c r="I143" i="2"/>
  <c r="X143" i="2"/>
  <c r="W144" i="2"/>
  <c r="AB145" i="2"/>
  <c r="AC144" i="2"/>
  <c r="M235" i="2" l="1"/>
  <c r="N234" i="2"/>
  <c r="I234" i="2"/>
  <c r="H235" i="2"/>
  <c r="AC145" i="2"/>
  <c r="AB146" i="2"/>
  <c r="I144" i="2"/>
  <c r="H145" i="2"/>
  <c r="M145" i="2"/>
  <c r="N144" i="2"/>
  <c r="X144" i="2"/>
  <c r="W145" i="2"/>
  <c r="N235" i="2" l="1"/>
  <c r="M236" i="2"/>
  <c r="H236" i="2"/>
  <c r="I235" i="2"/>
  <c r="M146" i="2"/>
  <c r="N145" i="2"/>
  <c r="I145" i="2"/>
  <c r="H146" i="2"/>
  <c r="AC146" i="2"/>
  <c r="AB147" i="2"/>
  <c r="W146" i="2"/>
  <c r="X145" i="2"/>
  <c r="N236" i="2" l="1"/>
  <c r="M237" i="2"/>
  <c r="H237" i="2"/>
  <c r="I236" i="2"/>
  <c r="H147" i="2"/>
  <c r="I146" i="2"/>
  <c r="AB148" i="2"/>
  <c r="AC147" i="2"/>
  <c r="W147" i="2"/>
  <c r="X146" i="2"/>
  <c r="N146" i="2"/>
  <c r="M147" i="2"/>
  <c r="N237" i="2" l="1"/>
  <c r="M238" i="2"/>
  <c r="I237" i="2"/>
  <c r="H238" i="2"/>
  <c r="X147" i="2"/>
  <c r="W148" i="2"/>
  <c r="AC148" i="2"/>
  <c r="AB149" i="2"/>
  <c r="AC149" i="2" s="1"/>
  <c r="N147" i="2"/>
  <c r="M148" i="2"/>
  <c r="H148" i="2"/>
  <c r="I147" i="2"/>
  <c r="N238" i="2" l="1"/>
  <c r="M239" i="2"/>
  <c r="N239" i="2" s="1"/>
  <c r="I238" i="2"/>
  <c r="H239" i="2"/>
  <c r="I239" i="2" s="1"/>
  <c r="N148" i="2"/>
  <c r="M149" i="2"/>
  <c r="N149" i="2" s="1"/>
  <c r="H149" i="2"/>
  <c r="I149" i="2" s="1"/>
  <c r="I148" i="2"/>
  <c r="X148" i="2"/>
  <c r="W149" i="2"/>
  <c r="X149" i="2" s="1"/>
  <c r="J111" i="2" l="1"/>
  <c r="E102" i="2"/>
  <c r="E103" i="2"/>
  <c r="E104" i="2"/>
  <c r="E105" i="2"/>
  <c r="E106" i="2"/>
  <c r="E107" i="2"/>
  <c r="E108" i="2"/>
  <c r="E109" i="2"/>
  <c r="E110" i="2"/>
  <c r="E111" i="2"/>
  <c r="E112" i="2"/>
  <c r="E101" i="2"/>
  <c r="Y72" i="2"/>
  <c r="Y73" i="2"/>
  <c r="Y74" i="2"/>
  <c r="Y75" i="2"/>
  <c r="Y76" i="2"/>
  <c r="Y77" i="2"/>
  <c r="Y78" i="2"/>
  <c r="Y79" i="2"/>
  <c r="Y80" i="2"/>
  <c r="Y81" i="2"/>
  <c r="Y82" i="2"/>
  <c r="Y71" i="2"/>
  <c r="J104" i="2" l="1"/>
  <c r="J106" i="2"/>
  <c r="J103" i="2"/>
  <c r="J109" i="2"/>
  <c r="J107" i="2"/>
  <c r="J105" i="2"/>
  <c r="J102" i="2"/>
  <c r="J110" i="2"/>
  <c r="J108" i="2"/>
  <c r="J101" i="2"/>
  <c r="J112" i="2"/>
  <c r="T72" i="2"/>
  <c r="T73" i="2"/>
  <c r="T74" i="2"/>
  <c r="T75" i="2"/>
  <c r="T76" i="2"/>
  <c r="T77" i="2"/>
  <c r="T78" i="2"/>
  <c r="T79" i="2"/>
  <c r="T80" i="2"/>
  <c r="T81" i="2"/>
  <c r="T82" i="2"/>
  <c r="T71" i="2"/>
  <c r="AE89" i="2"/>
  <c r="AD89" i="2"/>
  <c r="Z89" i="2"/>
  <c r="U89" i="2"/>
  <c r="P89" i="2"/>
  <c r="K89" i="2"/>
  <c r="J82" i="2"/>
  <c r="E82" i="2"/>
  <c r="J81" i="2"/>
  <c r="E81" i="2"/>
  <c r="J80" i="2"/>
  <c r="F17" i="9" s="1"/>
  <c r="E80" i="2"/>
  <c r="B17" i="9" s="1"/>
  <c r="J79" i="2"/>
  <c r="F16" i="9" s="1"/>
  <c r="E79" i="2"/>
  <c r="J78" i="2"/>
  <c r="E78" i="2"/>
  <c r="J77" i="2"/>
  <c r="E77" i="2"/>
  <c r="J76" i="2"/>
  <c r="E76" i="2"/>
  <c r="B13" i="9" s="1"/>
  <c r="J75" i="2"/>
  <c r="F12" i="9" s="1"/>
  <c r="E75" i="2"/>
  <c r="B12" i="9" s="1"/>
  <c r="J74" i="2"/>
  <c r="F11" i="9" s="1"/>
  <c r="E74" i="2"/>
  <c r="B11" i="9" s="1"/>
  <c r="J73" i="2"/>
  <c r="E73" i="2"/>
  <c r="J72" i="2"/>
  <c r="E72" i="2"/>
  <c r="J71" i="2"/>
  <c r="E71" i="2"/>
  <c r="AB67" i="2"/>
  <c r="AB68" i="2" s="1"/>
  <c r="AB69" i="2" s="1"/>
  <c r="AA67" i="2"/>
  <c r="AA68" i="2" s="1"/>
  <c r="AA69" i="2" s="1"/>
  <c r="AA70" i="2" s="1"/>
  <c r="AA71" i="2" s="1"/>
  <c r="AA72" i="2" s="1"/>
  <c r="AA73" i="2" s="1"/>
  <c r="AA74" i="2" s="1"/>
  <c r="AA75" i="2" s="1"/>
  <c r="AA76" i="2" s="1"/>
  <c r="AA77" i="2" s="1"/>
  <c r="AA78" i="2" s="1"/>
  <c r="AA79" i="2" s="1"/>
  <c r="AA80" i="2" s="1"/>
  <c r="AA81" i="2" s="1"/>
  <c r="AA82" i="2" s="1"/>
  <c r="AA83" i="2" s="1"/>
  <c r="AA84" i="2" s="1"/>
  <c r="AA85" i="2" s="1"/>
  <c r="AA86" i="2" s="1"/>
  <c r="AA87" i="2" s="1"/>
  <c r="AA88" i="2" s="1"/>
  <c r="AA89" i="2" s="1"/>
  <c r="W67" i="2"/>
  <c r="W68" i="2" s="1"/>
  <c r="W69" i="2" s="1"/>
  <c r="V67" i="2"/>
  <c r="V68" i="2" s="1"/>
  <c r="V69" i="2" s="1"/>
  <c r="V70" i="2" s="1"/>
  <c r="R67" i="2"/>
  <c r="R68" i="2" s="1"/>
  <c r="R69" i="2" s="1"/>
  <c r="R70" i="2" s="1"/>
  <c r="R71" i="2" s="1"/>
  <c r="R72" i="2" s="1"/>
  <c r="R73" i="2" s="1"/>
  <c r="R74" i="2" s="1"/>
  <c r="R75" i="2" s="1"/>
  <c r="R76" i="2" s="1"/>
  <c r="Q67" i="2"/>
  <c r="Q68" i="2" s="1"/>
  <c r="Q69" i="2" s="1"/>
  <c r="Q70" i="2" s="1"/>
  <c r="Q71" i="2" s="1"/>
  <c r="Q72" i="2" s="1"/>
  <c r="Q73" i="2" s="1"/>
  <c r="Q74" i="2" s="1"/>
  <c r="Q75" i="2" s="1"/>
  <c r="Q76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89" i="2" s="1"/>
  <c r="M67" i="2"/>
  <c r="M68" i="2" s="1"/>
  <c r="M69" i="2" s="1"/>
  <c r="M70" i="2" s="1"/>
  <c r="M71" i="2" s="1"/>
  <c r="L67" i="2"/>
  <c r="L68" i="2" s="1"/>
  <c r="L69" i="2" s="1"/>
  <c r="L70" i="2" s="1"/>
  <c r="H67" i="2"/>
  <c r="H68" i="2" s="1"/>
  <c r="H69" i="2" s="1"/>
  <c r="H70" i="2" s="1"/>
  <c r="H71" i="2" s="1"/>
  <c r="G67" i="2"/>
  <c r="G68" i="2" s="1"/>
  <c r="G69" i="2" s="1"/>
  <c r="G70" i="2" s="1"/>
  <c r="P119" i="2"/>
  <c r="K119" i="2"/>
  <c r="F119" i="2"/>
  <c r="R97" i="2"/>
  <c r="R98" i="2" s="1"/>
  <c r="R99" i="2" s="1"/>
  <c r="R100" i="2" s="1"/>
  <c r="R101" i="2" s="1"/>
  <c r="R102" i="2" s="1"/>
  <c r="R103" i="2" s="1"/>
  <c r="R104" i="2" s="1"/>
  <c r="R105" i="2" s="1"/>
  <c r="R106" i="2" s="1"/>
  <c r="Q97" i="2"/>
  <c r="Q98" i="2" s="1"/>
  <c r="Q99" i="2" s="1"/>
  <c r="Q100" i="2" s="1"/>
  <c r="Q101" i="2" s="1"/>
  <c r="Q102" i="2" s="1"/>
  <c r="Q103" i="2" s="1"/>
  <c r="Q104" i="2" s="1"/>
  <c r="Q105" i="2" s="1"/>
  <c r="Q106" i="2" s="1"/>
  <c r="Q108" i="2" s="1"/>
  <c r="Q109" i="2" s="1"/>
  <c r="Q110" i="2" s="1"/>
  <c r="Q111" i="2" s="1"/>
  <c r="Q112" i="2" s="1"/>
  <c r="Q113" i="2" s="1"/>
  <c r="Q114" i="2" s="1"/>
  <c r="Q115" i="2" s="1"/>
  <c r="Q116" i="2" s="1"/>
  <c r="Q117" i="2" s="1"/>
  <c r="Q118" i="2" s="1"/>
  <c r="Q119" i="2" s="1"/>
  <c r="M97" i="2"/>
  <c r="M98" i="2" s="1"/>
  <c r="M99" i="2" s="1"/>
  <c r="M100" i="2" s="1"/>
  <c r="M101" i="2" s="1"/>
  <c r="L97" i="2"/>
  <c r="L98" i="2" s="1"/>
  <c r="L99" i="2" s="1"/>
  <c r="L100" i="2" s="1"/>
  <c r="H97" i="2"/>
  <c r="H98" i="2" s="1"/>
  <c r="H99" i="2" s="1"/>
  <c r="H100" i="2" s="1"/>
  <c r="H101" i="2" s="1"/>
  <c r="G97" i="2"/>
  <c r="G98" i="2" s="1"/>
  <c r="G99" i="2" s="1"/>
  <c r="G100" i="2" s="1"/>
  <c r="G101" i="2" s="1"/>
  <c r="G102" i="2" s="1"/>
  <c r="Y42" i="2"/>
  <c r="F68" i="9" s="1"/>
  <c r="Y43" i="2"/>
  <c r="F69" i="9" s="1"/>
  <c r="Y44" i="2"/>
  <c r="F70" i="9" s="1"/>
  <c r="Y45" i="2"/>
  <c r="F71" i="9" s="1"/>
  <c r="Y46" i="2"/>
  <c r="F72" i="9" s="1"/>
  <c r="Y47" i="2"/>
  <c r="F73" i="9" s="1"/>
  <c r="Y48" i="2"/>
  <c r="F74" i="9" s="1"/>
  <c r="Y49" i="2"/>
  <c r="F75" i="9" s="1"/>
  <c r="Y50" i="2"/>
  <c r="F76" i="9" s="1"/>
  <c r="Y51" i="2"/>
  <c r="F77" i="9" s="1"/>
  <c r="Y52" i="2"/>
  <c r="F78" i="9" s="1"/>
  <c r="Y41" i="2"/>
  <c r="F67" i="9" s="1"/>
  <c r="T42" i="2"/>
  <c r="T43" i="2"/>
  <c r="B69" i="9" s="1"/>
  <c r="T44" i="2"/>
  <c r="B70" i="9" s="1"/>
  <c r="T45" i="2"/>
  <c r="B71" i="9" s="1"/>
  <c r="T46" i="2"/>
  <c r="B72" i="9" s="1"/>
  <c r="T47" i="2"/>
  <c r="B73" i="9" s="1"/>
  <c r="T48" i="2"/>
  <c r="B74" i="9" s="1"/>
  <c r="T49" i="2"/>
  <c r="B75" i="9" s="1"/>
  <c r="T50" i="2"/>
  <c r="B76" i="9" s="1"/>
  <c r="T51" i="2"/>
  <c r="B77" i="9" s="1"/>
  <c r="T52" i="2"/>
  <c r="B78" i="9" s="1"/>
  <c r="T41" i="2"/>
  <c r="B67" i="9" s="1"/>
  <c r="J42" i="2"/>
  <c r="J43" i="2"/>
  <c r="J44" i="2"/>
  <c r="J45" i="2"/>
  <c r="J46" i="2"/>
  <c r="J47" i="2"/>
  <c r="J48" i="2"/>
  <c r="J49" i="2"/>
  <c r="J50" i="2"/>
  <c r="J51" i="2"/>
  <c r="J52" i="2"/>
  <c r="J41" i="2"/>
  <c r="E42" i="2"/>
  <c r="E43" i="2"/>
  <c r="E44" i="2"/>
  <c r="E45" i="2"/>
  <c r="E46" i="2"/>
  <c r="E47" i="2"/>
  <c r="E48" i="2"/>
  <c r="E49" i="2"/>
  <c r="E50" i="2"/>
  <c r="E51" i="2"/>
  <c r="E52" i="2"/>
  <c r="E41" i="2"/>
  <c r="AE59" i="2"/>
  <c r="AD59" i="2"/>
  <c r="Z59" i="2"/>
  <c r="U59" i="2"/>
  <c r="P59" i="2"/>
  <c r="K59" i="2"/>
  <c r="F59" i="2"/>
  <c r="AB37" i="2"/>
  <c r="AB38" i="2" s="1"/>
  <c r="AB39" i="2" s="1"/>
  <c r="AB40" i="2" s="1"/>
  <c r="AB41" i="2" s="1"/>
  <c r="AB42" i="2" s="1"/>
  <c r="AA37" i="2"/>
  <c r="AA38" i="2" s="1"/>
  <c r="W37" i="2"/>
  <c r="W38" i="2" s="1"/>
  <c r="W39" i="2" s="1"/>
  <c r="V37" i="2"/>
  <c r="V38" i="2" s="1"/>
  <c r="V39" i="2" s="1"/>
  <c r="V40" i="2" s="1"/>
  <c r="R37" i="2"/>
  <c r="R38" i="2" s="1"/>
  <c r="R39" i="2" s="1"/>
  <c r="R40" i="2" s="1"/>
  <c r="R41" i="2" s="1"/>
  <c r="R42" i="2" s="1"/>
  <c r="R43" i="2" s="1"/>
  <c r="R44" i="2" s="1"/>
  <c r="R45" i="2" s="1"/>
  <c r="Q37" i="2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M37" i="2"/>
  <c r="M38" i="2" s="1"/>
  <c r="M39" i="2" s="1"/>
  <c r="L37" i="2"/>
  <c r="L38" i="2" s="1"/>
  <c r="L39" i="2" s="1"/>
  <c r="L40" i="2" s="1"/>
  <c r="H37" i="2"/>
  <c r="H38" i="2" s="1"/>
  <c r="H39" i="2" s="1"/>
  <c r="G37" i="2"/>
  <c r="G38" i="2" s="1"/>
  <c r="G39" i="2" s="1"/>
  <c r="G40" i="2" s="1"/>
  <c r="F5" i="9"/>
  <c r="F6" i="9"/>
  <c r="F7" i="9"/>
  <c r="F4" i="9"/>
  <c r="H4" i="9" s="1"/>
  <c r="B5" i="9"/>
  <c r="B6" i="9"/>
  <c r="B7" i="9"/>
  <c r="B4" i="9"/>
  <c r="D4" i="9" s="1"/>
  <c r="D2" i="8"/>
  <c r="D3" i="8" s="1"/>
  <c r="E2" i="8"/>
  <c r="F85" i="9" l="1"/>
  <c r="H67" i="9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F18" i="9"/>
  <c r="F14" i="9"/>
  <c r="F19" i="9"/>
  <c r="F15" i="9"/>
  <c r="B68" i="9"/>
  <c r="B85" i="9" s="1"/>
  <c r="D67" i="9"/>
  <c r="B19" i="9"/>
  <c r="B15" i="9"/>
  <c r="B18" i="9"/>
  <c r="B16" i="9"/>
  <c r="B14" i="9"/>
  <c r="D5" i="9"/>
  <c r="D6" i="9" s="1"/>
  <c r="D7" i="9" s="1"/>
  <c r="B9" i="9"/>
  <c r="B8" i="9"/>
  <c r="B10" i="9"/>
  <c r="F13" i="9"/>
  <c r="H5" i="9"/>
  <c r="H6" i="9" s="1"/>
  <c r="H7" i="9" s="1"/>
  <c r="F8" i="9"/>
  <c r="H8" i="9" s="1"/>
  <c r="F9" i="9"/>
  <c r="F10" i="9"/>
  <c r="L71" i="2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G71" i="2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L101" i="2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G41" i="2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V71" i="2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V83" i="2" s="1"/>
  <c r="V84" i="2" s="1"/>
  <c r="V85" i="2" s="1"/>
  <c r="V86" i="2" s="1"/>
  <c r="V87" i="2" s="1"/>
  <c r="V88" i="2" s="1"/>
  <c r="V89" i="2" s="1"/>
  <c r="R78" i="2"/>
  <c r="M72" i="2"/>
  <c r="H72" i="2"/>
  <c r="AB70" i="2"/>
  <c r="W70" i="2"/>
  <c r="G103" i="2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R108" i="2"/>
  <c r="H102" i="2"/>
  <c r="I101" i="2"/>
  <c r="M102" i="2"/>
  <c r="V41" i="2"/>
  <c r="V42" i="2" s="1"/>
  <c r="V43" i="2" s="1"/>
  <c r="V44" i="2" s="1"/>
  <c r="V45" i="2" s="1"/>
  <c r="V46" i="2" s="1"/>
  <c r="V47" i="2" s="1"/>
  <c r="V48" i="2" s="1"/>
  <c r="V49" i="2" s="1"/>
  <c r="V50" i="2" s="1"/>
  <c r="V51" i="2" s="1"/>
  <c r="V52" i="2" s="1"/>
  <c r="V53" i="2" s="1"/>
  <c r="V54" i="2" s="1"/>
  <c r="V55" i="2" s="1"/>
  <c r="V56" i="2" s="1"/>
  <c r="V57" i="2" s="1"/>
  <c r="V58" i="2" s="1"/>
  <c r="V59" i="2" s="1"/>
  <c r="W40" i="2"/>
  <c r="W41" i="2" s="1"/>
  <c r="W42" i="2" s="1"/>
  <c r="W43" i="2" s="1"/>
  <c r="W44" i="2" s="1"/>
  <c r="W45" i="2" s="1"/>
  <c r="L41" i="2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AA39" i="2"/>
  <c r="AA40" i="2" s="1"/>
  <c r="AA41" i="2" s="1"/>
  <c r="AA42" i="2" s="1"/>
  <c r="AA43" i="2" s="1"/>
  <c r="AA44" i="2" s="1"/>
  <c r="AA45" i="2" s="1"/>
  <c r="AA46" i="2" s="1"/>
  <c r="AA47" i="2" s="1"/>
  <c r="AA48" i="2" s="1"/>
  <c r="AA49" i="2" s="1"/>
  <c r="AA50" i="2" s="1"/>
  <c r="AA51" i="2" s="1"/>
  <c r="AA52" i="2" s="1"/>
  <c r="AA53" i="2" s="1"/>
  <c r="AA54" i="2" s="1"/>
  <c r="AA55" i="2" s="1"/>
  <c r="AA56" i="2" s="1"/>
  <c r="AA57" i="2" s="1"/>
  <c r="AA58" i="2" s="1"/>
  <c r="AA59" i="2" s="1"/>
  <c r="M40" i="2"/>
  <c r="AB43" i="2"/>
  <c r="H40" i="2"/>
  <c r="R46" i="2"/>
  <c r="E3" i="8"/>
  <c r="P269" i="2"/>
  <c r="R247" i="2"/>
  <c r="R248" i="2" s="1"/>
  <c r="R249" i="2" s="1"/>
  <c r="R250" i="2" s="1"/>
  <c r="R251" i="2" s="1"/>
  <c r="R252" i="2" s="1"/>
  <c r="R253" i="2" s="1"/>
  <c r="R254" i="2" s="1"/>
  <c r="Q247" i="2"/>
  <c r="Q248" i="2" s="1"/>
  <c r="Q249" i="2" s="1"/>
  <c r="Q250" i="2" s="1"/>
  <c r="Q251" i="2" s="1"/>
  <c r="Q252" i="2" s="1"/>
  <c r="Q253" i="2" s="1"/>
  <c r="P209" i="2"/>
  <c r="R187" i="2"/>
  <c r="R188" i="2" s="1"/>
  <c r="R189" i="2" s="1"/>
  <c r="R190" i="2" s="1"/>
  <c r="R191" i="2" s="1"/>
  <c r="R192" i="2" s="1"/>
  <c r="R193" i="2" s="1"/>
  <c r="R194" i="2" s="1"/>
  <c r="Q187" i="2"/>
  <c r="Q188" i="2" s="1"/>
  <c r="Q189" i="2" s="1"/>
  <c r="Q190" i="2" s="1"/>
  <c r="Q191" i="2" s="1"/>
  <c r="Q192" i="2" s="1"/>
  <c r="Q193" i="2" s="1"/>
  <c r="P179" i="2"/>
  <c r="R157" i="2"/>
  <c r="R158" i="2" s="1"/>
  <c r="R159" i="2" s="1"/>
  <c r="R160" i="2" s="1"/>
  <c r="R161" i="2" s="1"/>
  <c r="R162" i="2" s="1"/>
  <c r="R163" i="2" s="1"/>
  <c r="R164" i="2" s="1"/>
  <c r="Q157" i="2"/>
  <c r="Q158" i="2" s="1"/>
  <c r="Q159" i="2" s="1"/>
  <c r="Q160" i="2" s="1"/>
  <c r="Q161" i="2" s="1"/>
  <c r="Q162" i="2" s="1"/>
  <c r="Q163" i="2" s="1"/>
  <c r="P29" i="2"/>
  <c r="R7" i="2"/>
  <c r="R8" i="2" s="1"/>
  <c r="R9" i="2" s="1"/>
  <c r="Q7" i="2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F118" i="10"/>
  <c r="H97" i="10"/>
  <c r="H98" i="10" s="1"/>
  <c r="F88" i="10"/>
  <c r="H67" i="10"/>
  <c r="H68" i="10" s="1"/>
  <c r="E6" i="10"/>
  <c r="B184" i="9" s="1"/>
  <c r="F58" i="10"/>
  <c r="O28" i="7"/>
  <c r="L6" i="7"/>
  <c r="G6" i="7"/>
  <c r="H6" i="7"/>
  <c r="M6" i="7"/>
  <c r="P28" i="7"/>
  <c r="K28" i="7"/>
  <c r="F28" i="7"/>
  <c r="H7" i="7"/>
  <c r="Q18" i="2" l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F26" i="9"/>
  <c r="B26" i="9"/>
  <c r="D68" i="9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80" i="9" s="1"/>
  <c r="D81" i="9" s="1"/>
  <c r="D82" i="9" s="1"/>
  <c r="D83" i="9" s="1"/>
  <c r="D84" i="9" s="1"/>
  <c r="D85" i="9" s="1"/>
  <c r="B86" i="9" s="1"/>
  <c r="D8" i="9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I71" i="2"/>
  <c r="H9" i="9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N71" i="2"/>
  <c r="G67" i="10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E11" i="10"/>
  <c r="B189" i="9" s="1"/>
  <c r="D176" i="9"/>
  <c r="B177" i="9" s="1"/>
  <c r="Q194" i="2"/>
  <c r="Q195" i="2" s="1"/>
  <c r="Q196" i="2" s="1"/>
  <c r="Q197" i="2" s="1"/>
  <c r="Q198" i="2" s="1"/>
  <c r="Q199" i="2" s="1"/>
  <c r="Q200" i="2" s="1"/>
  <c r="Q201" i="2" s="1"/>
  <c r="Q202" i="2" s="1"/>
  <c r="Q203" i="2" s="1"/>
  <c r="Q204" i="2" s="1"/>
  <c r="Q205" i="2" s="1"/>
  <c r="Q206" i="2" s="1"/>
  <c r="Q207" i="2" s="1"/>
  <c r="Q208" i="2" s="1"/>
  <c r="Q209" i="2" s="1"/>
  <c r="Q254" i="2"/>
  <c r="Q255" i="2" s="1"/>
  <c r="Q256" i="2" s="1"/>
  <c r="Q257" i="2" s="1"/>
  <c r="Q258" i="2" s="1"/>
  <c r="Q259" i="2" s="1"/>
  <c r="Q260" i="2" s="1"/>
  <c r="Q261" i="2" s="1"/>
  <c r="Q262" i="2" s="1"/>
  <c r="Q263" i="2" s="1"/>
  <c r="Q264" i="2" s="1"/>
  <c r="Q265" i="2" s="1"/>
  <c r="Q266" i="2" s="1"/>
  <c r="Q267" i="2" s="1"/>
  <c r="Q268" i="2" s="1"/>
  <c r="Q269" i="2" s="1"/>
  <c r="X41" i="2"/>
  <c r="AC41" i="2"/>
  <c r="N101" i="2"/>
  <c r="I72" i="2"/>
  <c r="H73" i="2"/>
  <c r="AB71" i="2"/>
  <c r="N72" i="2"/>
  <c r="M73" i="2"/>
  <c r="W71" i="2"/>
  <c r="R79" i="2"/>
  <c r="N102" i="2"/>
  <c r="M103" i="2"/>
  <c r="H103" i="2"/>
  <c r="I102" i="2"/>
  <c r="R109" i="2"/>
  <c r="X44" i="2"/>
  <c r="X42" i="2"/>
  <c r="X43" i="2"/>
  <c r="AC42" i="2"/>
  <c r="H41" i="2"/>
  <c r="M41" i="2"/>
  <c r="AB44" i="2"/>
  <c r="AC43" i="2"/>
  <c r="R47" i="2"/>
  <c r="R48" i="2" s="1"/>
  <c r="S48" i="2" s="1"/>
  <c r="W46" i="2"/>
  <c r="X45" i="2"/>
  <c r="F115" i="9"/>
  <c r="G115" i="9"/>
  <c r="R255" i="2"/>
  <c r="R195" i="2"/>
  <c r="Q164" i="2"/>
  <c r="Q165" i="2" s="1"/>
  <c r="Q166" i="2" s="1"/>
  <c r="Q168" i="2" s="1"/>
  <c r="Q169" i="2" s="1"/>
  <c r="Q170" i="2" s="1"/>
  <c r="Q171" i="2" s="1"/>
  <c r="Q172" i="2" s="1"/>
  <c r="Q173" i="2" s="1"/>
  <c r="Q174" i="2" s="1"/>
  <c r="Q175" i="2" s="1"/>
  <c r="Q176" i="2" s="1"/>
  <c r="Q177" i="2" s="1"/>
  <c r="Q178" i="2" s="1"/>
  <c r="Q179" i="2" s="1"/>
  <c r="R165" i="2"/>
  <c r="R10" i="2"/>
  <c r="H99" i="10"/>
  <c r="I68" i="10"/>
  <c r="H69" i="10"/>
  <c r="I67" i="10"/>
  <c r="G37" i="10"/>
  <c r="H37" i="10"/>
  <c r="D4" i="8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E4" i="8"/>
  <c r="E5" i="8" s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L7" i="7"/>
  <c r="G7" i="7"/>
  <c r="M7" i="7"/>
  <c r="H8" i="7"/>
  <c r="B27" i="9" l="1"/>
  <c r="I96" i="10"/>
  <c r="G97" i="10"/>
  <c r="G38" i="10"/>
  <c r="G39" i="10" s="1"/>
  <c r="D145" i="9"/>
  <c r="B146" i="9" s="1"/>
  <c r="M3" i="9"/>
  <c r="AC71" i="2"/>
  <c r="AB72" i="2"/>
  <c r="X71" i="2"/>
  <c r="W72" i="2"/>
  <c r="M74" i="2"/>
  <c r="N73" i="2"/>
  <c r="R80" i="2"/>
  <c r="I73" i="2"/>
  <c r="H74" i="2"/>
  <c r="R110" i="2"/>
  <c r="I103" i="2"/>
  <c r="H104" i="2"/>
  <c r="N103" i="2"/>
  <c r="M104" i="2"/>
  <c r="X46" i="2"/>
  <c r="W47" i="2"/>
  <c r="AC44" i="2"/>
  <c r="AB45" i="2"/>
  <c r="H42" i="2"/>
  <c r="I41" i="2"/>
  <c r="N41" i="2"/>
  <c r="M42" i="2"/>
  <c r="R256" i="2"/>
  <c r="R196" i="2"/>
  <c r="R166" i="2"/>
  <c r="R11" i="2"/>
  <c r="H100" i="10"/>
  <c r="H70" i="10"/>
  <c r="I69" i="10"/>
  <c r="H38" i="10"/>
  <c r="I37" i="10"/>
  <c r="L8" i="7"/>
  <c r="L9" i="7" s="1"/>
  <c r="G8" i="7"/>
  <c r="H9" i="7"/>
  <c r="M8" i="7"/>
  <c r="H5" i="10"/>
  <c r="E5" i="10"/>
  <c r="B183" i="9" s="1"/>
  <c r="E7" i="10"/>
  <c r="B185" i="9" s="1"/>
  <c r="E8" i="10"/>
  <c r="B186" i="9" s="1"/>
  <c r="E9" i="10"/>
  <c r="B187" i="9" s="1"/>
  <c r="E10" i="10"/>
  <c r="B188" i="9" s="1"/>
  <c r="E12" i="10"/>
  <c r="B190" i="9" s="1"/>
  <c r="E13" i="10"/>
  <c r="B191" i="9" s="1"/>
  <c r="E14" i="10"/>
  <c r="B192" i="9" s="1"/>
  <c r="E15" i="10"/>
  <c r="B193" i="9" s="1"/>
  <c r="E16" i="10"/>
  <c r="B194" i="9" s="1"/>
  <c r="E17" i="10"/>
  <c r="B195" i="9" s="1"/>
  <c r="E18" i="10"/>
  <c r="B196" i="9" s="1"/>
  <c r="E19" i="10"/>
  <c r="B197" i="9" s="1"/>
  <c r="E20" i="10"/>
  <c r="B198" i="9" s="1"/>
  <c r="E21" i="10"/>
  <c r="B199" i="9" s="1"/>
  <c r="E22" i="10"/>
  <c r="B200" i="9" s="1"/>
  <c r="E23" i="10"/>
  <c r="B201" i="9" s="1"/>
  <c r="E24" i="10"/>
  <c r="B202" i="9" s="1"/>
  <c r="E25" i="10"/>
  <c r="B203" i="9" s="1"/>
  <c r="E26" i="10"/>
  <c r="B204" i="9" s="1"/>
  <c r="E27" i="10"/>
  <c r="B205" i="9" s="1"/>
  <c r="F28" i="10"/>
  <c r="U269" i="2"/>
  <c r="T269" i="2"/>
  <c r="K269" i="2"/>
  <c r="F269" i="2"/>
  <c r="M247" i="2"/>
  <c r="M248" i="2" s="1"/>
  <c r="M249" i="2" s="1"/>
  <c r="L247" i="2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H247" i="2"/>
  <c r="G247" i="2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U209" i="2"/>
  <c r="T209" i="2"/>
  <c r="K209" i="2"/>
  <c r="F209" i="2"/>
  <c r="M187" i="2"/>
  <c r="M188" i="2" s="1"/>
  <c r="L187" i="2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H187" i="2"/>
  <c r="H188" i="2" s="1"/>
  <c r="G187" i="2"/>
  <c r="G188" i="2" s="1"/>
  <c r="G190" i="2" s="1"/>
  <c r="U179" i="2"/>
  <c r="T179" i="2"/>
  <c r="K179" i="2"/>
  <c r="F179" i="2"/>
  <c r="M157" i="2"/>
  <c r="M158" i="2" s="1"/>
  <c r="M159" i="2" s="1"/>
  <c r="L157" i="2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H157" i="2"/>
  <c r="H158" i="2" s="1"/>
  <c r="G157" i="2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AA97" i="2"/>
  <c r="V97" i="2"/>
  <c r="Z119" i="2"/>
  <c r="AB97" i="2"/>
  <c r="U119" i="2"/>
  <c r="W97" i="2"/>
  <c r="L6" i="4"/>
  <c r="G6" i="4"/>
  <c r="P28" i="4"/>
  <c r="O28" i="4"/>
  <c r="K28" i="4"/>
  <c r="F28" i="4"/>
  <c r="M6" i="4"/>
  <c r="H6" i="4"/>
  <c r="AE119" i="2"/>
  <c r="M7" i="2"/>
  <c r="K29" i="2"/>
  <c r="T29" i="2"/>
  <c r="G5" i="10" l="1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H6" i="10"/>
  <c r="G98" i="10"/>
  <c r="I97" i="10"/>
  <c r="G40" i="10"/>
  <c r="I8" i="7"/>
  <c r="K26" i="9"/>
  <c r="M4" i="9"/>
  <c r="M5" i="9" s="1"/>
  <c r="M6" i="9" s="1"/>
  <c r="M7" i="9" s="1"/>
  <c r="M8" i="9" s="1"/>
  <c r="M9" i="9" s="1"/>
  <c r="M10" i="9" s="1"/>
  <c r="M11" i="9" s="1"/>
  <c r="M12" i="9" s="1"/>
  <c r="M13" i="9" s="1"/>
  <c r="M14" i="9" s="1"/>
  <c r="M15" i="9" s="1"/>
  <c r="M75" i="2"/>
  <c r="N74" i="2"/>
  <c r="R81" i="2"/>
  <c r="AC72" i="2"/>
  <c r="AB73" i="2"/>
  <c r="I74" i="2"/>
  <c r="H75" i="2"/>
  <c r="X72" i="2"/>
  <c r="W73" i="2"/>
  <c r="H105" i="2"/>
  <c r="I104" i="2"/>
  <c r="M105" i="2"/>
  <c r="N104" i="2"/>
  <c r="R111" i="2"/>
  <c r="AC45" i="2"/>
  <c r="AB46" i="2"/>
  <c r="R49" i="2"/>
  <c r="N42" i="2"/>
  <c r="M43" i="2"/>
  <c r="I42" i="2"/>
  <c r="H43" i="2"/>
  <c r="X47" i="2"/>
  <c r="W48" i="2"/>
  <c r="G9" i="7"/>
  <c r="R257" i="2"/>
  <c r="R167" i="2"/>
  <c r="R12" i="2"/>
  <c r="F214" i="9"/>
  <c r="H101" i="10"/>
  <c r="M7" i="4"/>
  <c r="H7" i="4"/>
  <c r="H71" i="10"/>
  <c r="I70" i="10"/>
  <c r="H39" i="10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I38" i="10"/>
  <c r="L10" i="7"/>
  <c r="L7" i="4"/>
  <c r="G7" i="4"/>
  <c r="M8" i="2"/>
  <c r="W98" i="2"/>
  <c r="AB98" i="2"/>
  <c r="AA98" i="2"/>
  <c r="V98" i="2"/>
  <c r="N8" i="7"/>
  <c r="M9" i="7"/>
  <c r="H10" i="7"/>
  <c r="G191" i="2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M250" i="2"/>
  <c r="H248" i="2"/>
  <c r="H189" i="2"/>
  <c r="M189" i="2"/>
  <c r="M160" i="2"/>
  <c r="H159" i="2"/>
  <c r="G7" i="2"/>
  <c r="D183" i="9" l="1"/>
  <c r="D184" i="9" s="1"/>
  <c r="D185" i="9" s="1"/>
  <c r="D186" i="9" s="1"/>
  <c r="D187" i="9" s="1"/>
  <c r="D188" i="9" s="1"/>
  <c r="D189" i="9" s="1"/>
  <c r="D190" i="9" s="1"/>
  <c r="D191" i="9" s="1"/>
  <c r="D192" i="9" s="1"/>
  <c r="D193" i="9" s="1"/>
  <c r="D194" i="9" s="1"/>
  <c r="D195" i="9" s="1"/>
  <c r="D196" i="9" s="1"/>
  <c r="D197" i="9" s="1"/>
  <c r="D198" i="9" s="1"/>
  <c r="D199" i="9" s="1"/>
  <c r="D200" i="9" s="1"/>
  <c r="D201" i="9" s="1"/>
  <c r="D202" i="9" s="1"/>
  <c r="D203" i="9" s="1"/>
  <c r="D204" i="9" s="1"/>
  <c r="D205" i="9" s="1"/>
  <c r="D206" i="9" s="1"/>
  <c r="B206" i="9"/>
  <c r="I39" i="10"/>
  <c r="H7" i="10"/>
  <c r="G99" i="10"/>
  <c r="I98" i="10"/>
  <c r="G41" i="10"/>
  <c r="I40" i="10"/>
  <c r="I9" i="7"/>
  <c r="H8" i="4"/>
  <c r="H9" i="4" s="1"/>
  <c r="M16" i="9"/>
  <c r="M17" i="9" s="1"/>
  <c r="M18" i="9" s="1"/>
  <c r="H76" i="2"/>
  <c r="I75" i="2"/>
  <c r="S81" i="2"/>
  <c r="R82" i="2"/>
  <c r="AC73" i="2"/>
  <c r="AB74" i="2"/>
  <c r="X73" i="2"/>
  <c r="W74" i="2"/>
  <c r="M76" i="2"/>
  <c r="N75" i="2"/>
  <c r="S111" i="2"/>
  <c r="R112" i="2"/>
  <c r="N105" i="2"/>
  <c r="M106" i="2"/>
  <c r="H106" i="2"/>
  <c r="I105" i="2"/>
  <c r="H44" i="2"/>
  <c r="I43" i="2"/>
  <c r="S49" i="2"/>
  <c r="R50" i="2"/>
  <c r="AB47" i="2"/>
  <c r="AC46" i="2"/>
  <c r="X48" i="2"/>
  <c r="W49" i="2"/>
  <c r="N43" i="2"/>
  <c r="M44" i="2"/>
  <c r="G10" i="7"/>
  <c r="I10" i="7" s="1"/>
  <c r="R258" i="2"/>
  <c r="R198" i="2"/>
  <c r="R168" i="2"/>
  <c r="R13" i="2"/>
  <c r="I5" i="10"/>
  <c r="H102" i="10"/>
  <c r="M8" i="4"/>
  <c r="I71" i="10"/>
  <c r="H72" i="10"/>
  <c r="I6" i="10"/>
  <c r="L11" i="7"/>
  <c r="L8" i="4"/>
  <c r="G8" i="4"/>
  <c r="AB99" i="2"/>
  <c r="W99" i="2"/>
  <c r="AA99" i="2"/>
  <c r="V99" i="2"/>
  <c r="H11" i="7"/>
  <c r="N9" i="7"/>
  <c r="M10" i="7"/>
  <c r="H249" i="2"/>
  <c r="M251" i="2"/>
  <c r="M190" i="2"/>
  <c r="H190" i="2"/>
  <c r="H160" i="2"/>
  <c r="M161" i="2"/>
  <c r="D214" i="9" l="1"/>
  <c r="E214" i="9" s="1"/>
  <c r="D212" i="9"/>
  <c r="E212" i="9" s="1"/>
  <c r="H8" i="10"/>
  <c r="G100" i="10"/>
  <c r="I99" i="10"/>
  <c r="G42" i="10"/>
  <c r="I41" i="10"/>
  <c r="I8" i="4"/>
  <c r="M19" i="9"/>
  <c r="M20" i="9" s="1"/>
  <c r="M21" i="9" s="1"/>
  <c r="M22" i="9" s="1"/>
  <c r="M23" i="9" s="1"/>
  <c r="M24" i="9" s="1"/>
  <c r="M25" i="9" s="1"/>
  <c r="M26" i="9" s="1"/>
  <c r="B28" i="9" s="1"/>
  <c r="W75" i="2"/>
  <c r="X74" i="2"/>
  <c r="R83" i="2"/>
  <c r="S82" i="2"/>
  <c r="AC74" i="2"/>
  <c r="AB75" i="2"/>
  <c r="N76" i="2"/>
  <c r="M77" i="2"/>
  <c r="H77" i="2"/>
  <c r="I76" i="2"/>
  <c r="N106" i="2"/>
  <c r="M107" i="2"/>
  <c r="S112" i="2"/>
  <c r="R113" i="2"/>
  <c r="I106" i="2"/>
  <c r="H107" i="2"/>
  <c r="W50" i="2"/>
  <c r="X49" i="2"/>
  <c r="S50" i="2"/>
  <c r="R51" i="2"/>
  <c r="N44" i="2"/>
  <c r="M45" i="2"/>
  <c r="AC47" i="2"/>
  <c r="AB48" i="2"/>
  <c r="I44" i="2"/>
  <c r="H45" i="2"/>
  <c r="G11" i="7"/>
  <c r="R259" i="2"/>
  <c r="S259" i="2" s="1"/>
  <c r="R199" i="2"/>
  <c r="R169" i="2"/>
  <c r="S168" i="2"/>
  <c r="R14" i="2"/>
  <c r="H103" i="10"/>
  <c r="M9" i="4"/>
  <c r="H73" i="10"/>
  <c r="I72" i="10"/>
  <c r="I7" i="10"/>
  <c r="L12" i="7"/>
  <c r="N8" i="4"/>
  <c r="L9" i="4"/>
  <c r="G9" i="4"/>
  <c r="W100" i="2"/>
  <c r="AB100" i="2"/>
  <c r="AA100" i="2"/>
  <c r="V100" i="2"/>
  <c r="M11" i="7"/>
  <c r="N10" i="7"/>
  <c r="H12" i="7"/>
  <c r="N251" i="2"/>
  <c r="M252" i="2"/>
  <c r="H250" i="2"/>
  <c r="H191" i="2"/>
  <c r="M191" i="2"/>
  <c r="M162" i="2"/>
  <c r="N161" i="2"/>
  <c r="H161" i="2"/>
  <c r="H10" i="4"/>
  <c r="H7" i="2"/>
  <c r="L7" i="2"/>
  <c r="F29" i="2"/>
  <c r="U29" i="2"/>
  <c r="F211" i="9" l="1"/>
  <c r="H9" i="10"/>
  <c r="G101" i="10"/>
  <c r="I100" i="10"/>
  <c r="G43" i="10"/>
  <c r="I42" i="10"/>
  <c r="I11" i="7"/>
  <c r="I77" i="2"/>
  <c r="H78" i="2"/>
  <c r="M78" i="2"/>
  <c r="N77" i="2"/>
  <c r="AB76" i="2"/>
  <c r="AC75" i="2"/>
  <c r="R84" i="2"/>
  <c r="S83" i="2"/>
  <c r="W76" i="2"/>
  <c r="X75" i="2"/>
  <c r="S113" i="2"/>
  <c r="R114" i="2"/>
  <c r="M108" i="2"/>
  <c r="N107" i="2"/>
  <c r="I107" i="2"/>
  <c r="H108" i="2"/>
  <c r="X50" i="2"/>
  <c r="W51" i="2"/>
  <c r="S51" i="2"/>
  <c r="R52" i="2"/>
  <c r="H46" i="2"/>
  <c r="I45" i="2"/>
  <c r="AC48" i="2"/>
  <c r="AB49" i="2"/>
  <c r="N45" i="2"/>
  <c r="M46" i="2"/>
  <c r="G12" i="7"/>
  <c r="I12" i="7" s="1"/>
  <c r="R260" i="2"/>
  <c r="R200" i="2"/>
  <c r="R170" i="2"/>
  <c r="S169" i="2"/>
  <c r="W101" i="2"/>
  <c r="R15" i="2"/>
  <c r="H104" i="10"/>
  <c r="M10" i="4"/>
  <c r="H74" i="10"/>
  <c r="I73" i="10"/>
  <c r="I8" i="10"/>
  <c r="L13" i="7"/>
  <c r="L10" i="4"/>
  <c r="N9" i="4"/>
  <c r="G10" i="4"/>
  <c r="I9" i="4"/>
  <c r="AB101" i="2"/>
  <c r="H8" i="2"/>
  <c r="AA101" i="2"/>
  <c r="V101" i="2"/>
  <c r="L8" i="2"/>
  <c r="H13" i="7"/>
  <c r="N11" i="7"/>
  <c r="M12" i="7"/>
  <c r="H251" i="2"/>
  <c r="M253" i="2"/>
  <c r="N252" i="2"/>
  <c r="M192" i="2"/>
  <c r="N191" i="2"/>
  <c r="I191" i="2"/>
  <c r="H192" i="2"/>
  <c r="H162" i="2"/>
  <c r="I161" i="2"/>
  <c r="M163" i="2"/>
  <c r="N162" i="2"/>
  <c r="H11" i="4"/>
  <c r="G8" i="2"/>
  <c r="H10" i="10" l="1"/>
  <c r="G102" i="10"/>
  <c r="I101" i="10"/>
  <c r="G44" i="10"/>
  <c r="I43" i="10"/>
  <c r="I10" i="4"/>
  <c r="X101" i="2"/>
  <c r="S84" i="2"/>
  <c r="R85" i="2"/>
  <c r="AB77" i="2"/>
  <c r="AC76" i="2"/>
  <c r="X76" i="2"/>
  <c r="W77" i="2"/>
  <c r="M79" i="2"/>
  <c r="N78" i="2"/>
  <c r="I78" i="2"/>
  <c r="H79" i="2"/>
  <c r="N108" i="2"/>
  <c r="M109" i="2"/>
  <c r="H109" i="2"/>
  <c r="I108" i="2"/>
  <c r="S114" i="2"/>
  <c r="R115" i="2"/>
  <c r="N46" i="2"/>
  <c r="M47" i="2"/>
  <c r="H47" i="2"/>
  <c r="I46" i="2"/>
  <c r="R53" i="2"/>
  <c r="S52" i="2"/>
  <c r="AC49" i="2"/>
  <c r="AB50" i="2"/>
  <c r="X51" i="2"/>
  <c r="W52" i="2"/>
  <c r="W102" i="2"/>
  <c r="G13" i="7"/>
  <c r="R261" i="2"/>
  <c r="S260" i="2"/>
  <c r="S200" i="2"/>
  <c r="R201" i="2"/>
  <c r="R171" i="2"/>
  <c r="S170" i="2"/>
  <c r="R16" i="2"/>
  <c r="H105" i="10"/>
  <c r="M11" i="4"/>
  <c r="H9" i="2"/>
  <c r="I74" i="10"/>
  <c r="H75" i="10"/>
  <c r="I9" i="10"/>
  <c r="L14" i="7"/>
  <c r="N10" i="4"/>
  <c r="L11" i="4"/>
  <c r="G11" i="4"/>
  <c r="AB102" i="2"/>
  <c r="AC101" i="2"/>
  <c r="AA102" i="2"/>
  <c r="V102" i="2"/>
  <c r="L9" i="2"/>
  <c r="G9" i="2"/>
  <c r="N12" i="7"/>
  <c r="M13" i="7"/>
  <c r="H14" i="7"/>
  <c r="M254" i="2"/>
  <c r="N253" i="2"/>
  <c r="I251" i="2"/>
  <c r="H252" i="2"/>
  <c r="H193" i="2"/>
  <c r="I192" i="2"/>
  <c r="N192" i="2"/>
  <c r="M193" i="2"/>
  <c r="N163" i="2"/>
  <c r="M164" i="2"/>
  <c r="H163" i="2"/>
  <c r="I162" i="2"/>
  <c r="H12" i="4"/>
  <c r="M9" i="2"/>
  <c r="H11" i="10" l="1"/>
  <c r="G103" i="10"/>
  <c r="I102" i="10"/>
  <c r="G45" i="10"/>
  <c r="I44" i="10"/>
  <c r="I13" i="7"/>
  <c r="I79" i="2"/>
  <c r="H80" i="2"/>
  <c r="X77" i="2"/>
  <c r="W78" i="2"/>
  <c r="AB78" i="2"/>
  <c r="AC77" i="2"/>
  <c r="R86" i="2"/>
  <c r="S85" i="2"/>
  <c r="M80" i="2"/>
  <c r="N79" i="2"/>
  <c r="S115" i="2"/>
  <c r="R116" i="2"/>
  <c r="H110" i="2"/>
  <c r="I109" i="2"/>
  <c r="N109" i="2"/>
  <c r="M110" i="2"/>
  <c r="X102" i="2"/>
  <c r="W103" i="2"/>
  <c r="I47" i="2"/>
  <c r="H48" i="2"/>
  <c r="X52" i="2"/>
  <c r="W53" i="2"/>
  <c r="AB51" i="2"/>
  <c r="AC50" i="2"/>
  <c r="S53" i="2"/>
  <c r="R54" i="2"/>
  <c r="M48" i="2"/>
  <c r="N47" i="2"/>
  <c r="G14" i="7"/>
  <c r="S261" i="2"/>
  <c r="R262" i="2"/>
  <c r="S201" i="2"/>
  <c r="R202" i="2"/>
  <c r="S171" i="2"/>
  <c r="R172" i="2"/>
  <c r="R17" i="2"/>
  <c r="H10" i="2"/>
  <c r="H106" i="10"/>
  <c r="M12" i="4"/>
  <c r="H76" i="10"/>
  <c r="I75" i="10"/>
  <c r="I10" i="10"/>
  <c r="L15" i="7"/>
  <c r="N11" i="4"/>
  <c r="L12" i="4"/>
  <c r="G12" i="4"/>
  <c r="I11" i="4"/>
  <c r="G10" i="2"/>
  <c r="G11" i="2" s="1"/>
  <c r="I9" i="2"/>
  <c r="AB103" i="2"/>
  <c r="AC102" i="2"/>
  <c r="AA103" i="2"/>
  <c r="V103" i="2"/>
  <c r="L10" i="2"/>
  <c r="H15" i="7"/>
  <c r="M14" i="7"/>
  <c r="N13" i="7"/>
  <c r="I252" i="2"/>
  <c r="H253" i="2"/>
  <c r="M255" i="2"/>
  <c r="N254" i="2"/>
  <c r="M194" i="2"/>
  <c r="N193" i="2"/>
  <c r="H194" i="2"/>
  <c r="I193" i="2"/>
  <c r="H164" i="2"/>
  <c r="I163" i="2"/>
  <c r="M165" i="2"/>
  <c r="N164" i="2"/>
  <c r="H13" i="4"/>
  <c r="N9" i="2"/>
  <c r="M10" i="2"/>
  <c r="H12" i="10" l="1"/>
  <c r="G104" i="10"/>
  <c r="I103" i="10"/>
  <c r="G46" i="10"/>
  <c r="I45" i="10"/>
  <c r="I14" i="7"/>
  <c r="I12" i="4"/>
  <c r="W104" i="2"/>
  <c r="W105" i="2" s="1"/>
  <c r="X103" i="2"/>
  <c r="AC78" i="2"/>
  <c r="AB79" i="2"/>
  <c r="M81" i="2"/>
  <c r="N80" i="2"/>
  <c r="W79" i="2"/>
  <c r="X78" i="2"/>
  <c r="I80" i="2"/>
  <c r="H81" i="2"/>
  <c r="R87" i="2"/>
  <c r="S86" i="2"/>
  <c r="N110" i="2"/>
  <c r="M111" i="2"/>
  <c r="H111" i="2"/>
  <c r="I110" i="2"/>
  <c r="S116" i="2"/>
  <c r="R117" i="2"/>
  <c r="S54" i="2"/>
  <c r="R55" i="2"/>
  <c r="W54" i="2"/>
  <c r="X53" i="2"/>
  <c r="N48" i="2"/>
  <c r="M49" i="2"/>
  <c r="AC51" i="2"/>
  <c r="AB52" i="2"/>
  <c r="I48" i="2"/>
  <c r="H49" i="2"/>
  <c r="H11" i="2"/>
  <c r="I11" i="2" s="1"/>
  <c r="I10" i="2"/>
  <c r="G15" i="7"/>
  <c r="R263" i="2"/>
  <c r="S262" i="2"/>
  <c r="R203" i="2"/>
  <c r="S202" i="2"/>
  <c r="S172" i="2"/>
  <c r="R173" i="2"/>
  <c r="R18" i="2"/>
  <c r="H107" i="10"/>
  <c r="M13" i="4"/>
  <c r="H77" i="10"/>
  <c r="I76" i="10"/>
  <c r="I11" i="10"/>
  <c r="L16" i="7"/>
  <c r="L13" i="4"/>
  <c r="N12" i="4"/>
  <c r="G13" i="4"/>
  <c r="AB104" i="2"/>
  <c r="AC103" i="2"/>
  <c r="AA104" i="2"/>
  <c r="V104" i="2"/>
  <c r="X104" i="2" s="1"/>
  <c r="L11" i="2"/>
  <c r="G12" i="2"/>
  <c r="N14" i="7"/>
  <c r="M15" i="7"/>
  <c r="H16" i="7"/>
  <c r="M256" i="2"/>
  <c r="N255" i="2"/>
  <c r="I253" i="2"/>
  <c r="H254" i="2"/>
  <c r="H195" i="2"/>
  <c r="I194" i="2"/>
  <c r="N194" i="2"/>
  <c r="M195" i="2"/>
  <c r="N165" i="2"/>
  <c r="M166" i="2"/>
  <c r="I164" i="2"/>
  <c r="H165" i="2"/>
  <c r="H14" i="4"/>
  <c r="N10" i="2"/>
  <c r="M11" i="2"/>
  <c r="H13" i="10" l="1"/>
  <c r="G105" i="10"/>
  <c r="I104" i="10"/>
  <c r="G47" i="10"/>
  <c r="I46" i="10"/>
  <c r="I15" i="7"/>
  <c r="I13" i="4"/>
  <c r="W80" i="2"/>
  <c r="X79" i="2"/>
  <c r="S87" i="2"/>
  <c r="R88" i="2"/>
  <c r="AC79" i="2"/>
  <c r="AB80" i="2"/>
  <c r="H82" i="2"/>
  <c r="I81" i="2"/>
  <c r="N81" i="2"/>
  <c r="M82" i="2"/>
  <c r="I111" i="2"/>
  <c r="H112" i="2"/>
  <c r="M112" i="2"/>
  <c r="N111" i="2"/>
  <c r="R118" i="2"/>
  <c r="S117" i="2"/>
  <c r="H12" i="2"/>
  <c r="I12" i="2" s="1"/>
  <c r="I49" i="2"/>
  <c r="H50" i="2"/>
  <c r="X54" i="2"/>
  <c r="W55" i="2"/>
  <c r="AC52" i="2"/>
  <c r="AB53" i="2"/>
  <c r="N49" i="2"/>
  <c r="M50" i="2"/>
  <c r="S55" i="2"/>
  <c r="R56" i="2"/>
  <c r="G16" i="7"/>
  <c r="R264" i="2"/>
  <c r="S263" i="2"/>
  <c r="R204" i="2"/>
  <c r="S203" i="2"/>
  <c r="R174" i="2"/>
  <c r="S173" i="2"/>
  <c r="S18" i="2"/>
  <c r="R19" i="2"/>
  <c r="H108" i="10"/>
  <c r="M14" i="4"/>
  <c r="I77" i="10"/>
  <c r="H78" i="10"/>
  <c r="I12" i="10"/>
  <c r="L17" i="7"/>
  <c r="L14" i="4"/>
  <c r="N13" i="4"/>
  <c r="G14" i="4"/>
  <c r="M12" i="2"/>
  <c r="AB105" i="2"/>
  <c r="AA105" i="2"/>
  <c r="AC104" i="2"/>
  <c r="V105" i="2"/>
  <c r="X105" i="2" s="1"/>
  <c r="L12" i="2"/>
  <c r="G13" i="2"/>
  <c r="H17" i="7"/>
  <c r="M16" i="7"/>
  <c r="N15" i="7"/>
  <c r="I254" i="2"/>
  <c r="H255" i="2"/>
  <c r="M257" i="2"/>
  <c r="N256" i="2"/>
  <c r="N195" i="2"/>
  <c r="M196" i="2"/>
  <c r="H196" i="2"/>
  <c r="I195" i="2"/>
  <c r="H166" i="2"/>
  <c r="I165" i="2"/>
  <c r="M167" i="2"/>
  <c r="N166" i="2"/>
  <c r="W106" i="2"/>
  <c r="H15" i="4"/>
  <c r="N11" i="2"/>
  <c r="H14" i="10" l="1"/>
  <c r="G106" i="10"/>
  <c r="I105" i="10"/>
  <c r="G48" i="10"/>
  <c r="I47" i="10"/>
  <c r="I16" i="7"/>
  <c r="H13" i="2"/>
  <c r="I13" i="2" s="1"/>
  <c r="I82" i="2"/>
  <c r="H83" i="2"/>
  <c r="R89" i="2"/>
  <c r="S89" i="2" s="1"/>
  <c r="S88" i="2"/>
  <c r="N82" i="2"/>
  <c r="M83" i="2"/>
  <c r="AC80" i="2"/>
  <c r="AB81" i="2"/>
  <c r="X80" i="2"/>
  <c r="W81" i="2"/>
  <c r="M113" i="2"/>
  <c r="N112" i="2"/>
  <c r="S118" i="2"/>
  <c r="R119" i="2"/>
  <c r="S119" i="2" s="1"/>
  <c r="I112" i="2"/>
  <c r="H113" i="2"/>
  <c r="N50" i="2"/>
  <c r="M51" i="2"/>
  <c r="X55" i="2"/>
  <c r="W56" i="2"/>
  <c r="R57" i="2"/>
  <c r="S56" i="2"/>
  <c r="AC53" i="2"/>
  <c r="AB54" i="2"/>
  <c r="H51" i="2"/>
  <c r="I50" i="2"/>
  <c r="M13" i="2"/>
  <c r="G17" i="7"/>
  <c r="I17" i="7" s="1"/>
  <c r="R265" i="2"/>
  <c r="S264" i="2"/>
  <c r="R205" i="2"/>
  <c r="S204" i="2"/>
  <c r="R175" i="2"/>
  <c r="S174" i="2"/>
  <c r="R20" i="2"/>
  <c r="S19" i="2"/>
  <c r="H109" i="10"/>
  <c r="M15" i="4"/>
  <c r="H79" i="10"/>
  <c r="I78" i="10"/>
  <c r="I13" i="10"/>
  <c r="L18" i="7"/>
  <c r="N14" i="4"/>
  <c r="L15" i="4"/>
  <c r="G15" i="4"/>
  <c r="I14" i="4"/>
  <c r="H14" i="2"/>
  <c r="AB106" i="2"/>
  <c r="AA106" i="2"/>
  <c r="AC105" i="2"/>
  <c r="V106" i="2"/>
  <c r="X106" i="2" s="1"/>
  <c r="L13" i="2"/>
  <c r="G14" i="2"/>
  <c r="N16" i="7"/>
  <c r="M17" i="7"/>
  <c r="H18" i="7"/>
  <c r="M258" i="2"/>
  <c r="N257" i="2"/>
  <c r="H256" i="2"/>
  <c r="I255" i="2"/>
  <c r="I196" i="2"/>
  <c r="H197" i="2"/>
  <c r="N196" i="2"/>
  <c r="M197" i="2"/>
  <c r="M168" i="2"/>
  <c r="N167" i="2"/>
  <c r="I166" i="2"/>
  <c r="H167" i="2"/>
  <c r="W107" i="2"/>
  <c r="H16" i="4"/>
  <c r="N12" i="2"/>
  <c r="H15" i="10" l="1"/>
  <c r="G107" i="10"/>
  <c r="I106" i="10"/>
  <c r="G49" i="10"/>
  <c r="I48" i="10"/>
  <c r="I15" i="4"/>
  <c r="X81" i="2"/>
  <c r="W82" i="2"/>
  <c r="AC81" i="2"/>
  <c r="AB82" i="2"/>
  <c r="N83" i="2"/>
  <c r="M84" i="2"/>
  <c r="H84" i="2"/>
  <c r="I83" i="2"/>
  <c r="H114" i="2"/>
  <c r="I113" i="2"/>
  <c r="N113" i="2"/>
  <c r="M114" i="2"/>
  <c r="AB55" i="2"/>
  <c r="AC54" i="2"/>
  <c r="X56" i="2"/>
  <c r="W57" i="2"/>
  <c r="I51" i="2"/>
  <c r="H52" i="2"/>
  <c r="S57" i="2"/>
  <c r="R58" i="2"/>
  <c r="M52" i="2"/>
  <c r="N51" i="2"/>
  <c r="G18" i="7"/>
  <c r="R266" i="2"/>
  <c r="S265" i="2"/>
  <c r="S205" i="2"/>
  <c r="R206" i="2"/>
  <c r="S175" i="2"/>
  <c r="R176" i="2"/>
  <c r="R21" i="2"/>
  <c r="S20" i="2"/>
  <c r="H110" i="10"/>
  <c r="M16" i="4"/>
  <c r="I14" i="2"/>
  <c r="H15" i="2"/>
  <c r="I79" i="10"/>
  <c r="H80" i="10"/>
  <c r="I14" i="10"/>
  <c r="L19" i="7"/>
  <c r="L16" i="4"/>
  <c r="N15" i="4"/>
  <c r="G16" i="4"/>
  <c r="AB107" i="2"/>
  <c r="AC106" i="2"/>
  <c r="AA107" i="2"/>
  <c r="V107" i="2"/>
  <c r="X107" i="2" s="1"/>
  <c r="L14" i="2"/>
  <c r="G15" i="2"/>
  <c r="H19" i="7"/>
  <c r="N17" i="7"/>
  <c r="M18" i="7"/>
  <c r="H257" i="2"/>
  <c r="I256" i="2"/>
  <c r="M259" i="2"/>
  <c r="N258" i="2"/>
  <c r="H198" i="2"/>
  <c r="I197" i="2"/>
  <c r="M198" i="2"/>
  <c r="N197" i="2"/>
  <c r="H168" i="2"/>
  <c r="I167" i="2"/>
  <c r="M169" i="2"/>
  <c r="N168" i="2"/>
  <c r="W108" i="2"/>
  <c r="H17" i="4"/>
  <c r="N13" i="2"/>
  <c r="M14" i="2"/>
  <c r="H16" i="10" l="1"/>
  <c r="G108" i="10"/>
  <c r="I107" i="10"/>
  <c r="G50" i="10"/>
  <c r="I49" i="10"/>
  <c r="I18" i="7"/>
  <c r="I16" i="4"/>
  <c r="N84" i="2"/>
  <c r="M85" i="2"/>
  <c r="AC82" i="2"/>
  <c r="AB83" i="2"/>
  <c r="X82" i="2"/>
  <c r="W83" i="2"/>
  <c r="H85" i="2"/>
  <c r="I84" i="2"/>
  <c r="M115" i="2"/>
  <c r="N114" i="2"/>
  <c r="I114" i="2"/>
  <c r="H115" i="2"/>
  <c r="S58" i="2"/>
  <c r="R59" i="2"/>
  <c r="S59" i="2" s="1"/>
  <c r="I52" i="2"/>
  <c r="H53" i="2"/>
  <c r="W58" i="2"/>
  <c r="X57" i="2"/>
  <c r="AC55" i="2"/>
  <c r="AB56" i="2"/>
  <c r="N52" i="2"/>
  <c r="M53" i="2"/>
  <c r="G19" i="7"/>
  <c r="S266" i="2"/>
  <c r="R267" i="2"/>
  <c r="R207" i="2"/>
  <c r="S206" i="2"/>
  <c r="S176" i="2"/>
  <c r="R177" i="2"/>
  <c r="S21" i="2"/>
  <c r="R22" i="2"/>
  <c r="I15" i="2"/>
  <c r="H111" i="10"/>
  <c r="M17" i="4"/>
  <c r="I80" i="10"/>
  <c r="H81" i="10"/>
  <c r="I15" i="10"/>
  <c r="L20" i="7"/>
  <c r="L17" i="4"/>
  <c r="N16" i="4"/>
  <c r="G17" i="4"/>
  <c r="AB108" i="2"/>
  <c r="AA108" i="2"/>
  <c r="AC107" i="2"/>
  <c r="V108" i="2"/>
  <c r="X108" i="2" s="1"/>
  <c r="L15" i="2"/>
  <c r="G16" i="2"/>
  <c r="N18" i="7"/>
  <c r="M19" i="7"/>
  <c r="I19" i="7"/>
  <c r="H20" i="7"/>
  <c r="M260" i="2"/>
  <c r="N259" i="2"/>
  <c r="H258" i="2"/>
  <c r="I257" i="2"/>
  <c r="N198" i="2"/>
  <c r="M199" i="2"/>
  <c r="I198" i="2"/>
  <c r="H199" i="2"/>
  <c r="M170" i="2"/>
  <c r="N169" i="2"/>
  <c r="I168" i="2"/>
  <c r="H169" i="2"/>
  <c r="W109" i="2"/>
  <c r="H18" i="4"/>
  <c r="N14" i="2"/>
  <c r="M15" i="2"/>
  <c r="G109" i="10" l="1"/>
  <c r="I108" i="10"/>
  <c r="G51" i="10"/>
  <c r="I50" i="10"/>
  <c r="I17" i="4"/>
  <c r="W84" i="2"/>
  <c r="X83" i="2"/>
  <c r="H86" i="2"/>
  <c r="I85" i="2"/>
  <c r="AC83" i="2"/>
  <c r="AB84" i="2"/>
  <c r="M86" i="2"/>
  <c r="N85" i="2"/>
  <c r="H116" i="2"/>
  <c r="I115" i="2"/>
  <c r="M116" i="2"/>
  <c r="N115" i="2"/>
  <c r="N53" i="2"/>
  <c r="M54" i="2"/>
  <c r="AC56" i="2"/>
  <c r="AB57" i="2"/>
  <c r="X58" i="2"/>
  <c r="W59" i="2"/>
  <c r="X59" i="2" s="1"/>
  <c r="H54" i="2"/>
  <c r="I53" i="2"/>
  <c r="G20" i="7"/>
  <c r="S267" i="2"/>
  <c r="R268" i="2"/>
  <c r="S207" i="2"/>
  <c r="R208" i="2"/>
  <c r="R178" i="2"/>
  <c r="S177" i="2"/>
  <c r="R23" i="2"/>
  <c r="S22" i="2"/>
  <c r="H112" i="10"/>
  <c r="M18" i="4"/>
  <c r="H82" i="10"/>
  <c r="I81" i="10"/>
  <c r="I16" i="10"/>
  <c r="L21" i="7"/>
  <c r="N17" i="4"/>
  <c r="L18" i="4"/>
  <c r="G18" i="4"/>
  <c r="N15" i="2"/>
  <c r="AB109" i="2"/>
  <c r="AA109" i="2"/>
  <c r="AC108" i="2"/>
  <c r="V109" i="2"/>
  <c r="X109" i="2" s="1"/>
  <c r="L16" i="2"/>
  <c r="G17" i="2"/>
  <c r="M20" i="7"/>
  <c r="N19" i="7"/>
  <c r="H21" i="7"/>
  <c r="I258" i="2"/>
  <c r="H259" i="2"/>
  <c r="M261" i="2"/>
  <c r="N260" i="2"/>
  <c r="M200" i="2"/>
  <c r="N199" i="2"/>
  <c r="H200" i="2"/>
  <c r="I199" i="2"/>
  <c r="I169" i="2"/>
  <c r="H170" i="2"/>
  <c r="M171" i="2"/>
  <c r="N170" i="2"/>
  <c r="W110" i="2"/>
  <c r="H19" i="4"/>
  <c r="M16" i="2"/>
  <c r="H16" i="2"/>
  <c r="H18" i="10" l="1"/>
  <c r="G110" i="10"/>
  <c r="I109" i="10"/>
  <c r="G52" i="10"/>
  <c r="I51" i="10"/>
  <c r="I20" i="7"/>
  <c r="I18" i="4"/>
  <c r="M87" i="2"/>
  <c r="N86" i="2"/>
  <c r="AB85" i="2"/>
  <c r="AC84" i="2"/>
  <c r="I86" i="2"/>
  <c r="H87" i="2"/>
  <c r="W85" i="2"/>
  <c r="X84" i="2"/>
  <c r="M117" i="2"/>
  <c r="N116" i="2"/>
  <c r="I116" i="2"/>
  <c r="H117" i="2"/>
  <c r="H55" i="2"/>
  <c r="I54" i="2"/>
  <c r="AC57" i="2"/>
  <c r="AB58" i="2"/>
  <c r="N54" i="2"/>
  <c r="M55" i="2"/>
  <c r="G21" i="7"/>
  <c r="R269" i="2"/>
  <c r="S269" i="2" s="1"/>
  <c r="S268" i="2"/>
  <c r="R209" i="2"/>
  <c r="S209" i="2" s="1"/>
  <c r="S208" i="2"/>
  <c r="R179" i="2"/>
  <c r="S179" i="2" s="1"/>
  <c r="S178" i="2"/>
  <c r="R24" i="2"/>
  <c r="S23" i="2"/>
  <c r="H113" i="10"/>
  <c r="M19" i="4"/>
  <c r="I82" i="10"/>
  <c r="H83" i="10"/>
  <c r="I17" i="10"/>
  <c r="L22" i="7"/>
  <c r="N18" i="4"/>
  <c r="L19" i="4"/>
  <c r="G19" i="4"/>
  <c r="AB110" i="2"/>
  <c r="N16" i="2"/>
  <c r="AA110" i="2"/>
  <c r="AC109" i="2"/>
  <c r="V110" i="2"/>
  <c r="X110" i="2" s="1"/>
  <c r="L17" i="2"/>
  <c r="G18" i="2"/>
  <c r="H22" i="7"/>
  <c r="N20" i="7"/>
  <c r="M21" i="7"/>
  <c r="N261" i="2"/>
  <c r="M262" i="2"/>
  <c r="H260" i="2"/>
  <c r="I259" i="2"/>
  <c r="I200" i="2"/>
  <c r="H201" i="2"/>
  <c r="N200" i="2"/>
  <c r="M201" i="2"/>
  <c r="N171" i="2"/>
  <c r="M172" i="2"/>
  <c r="I170" i="2"/>
  <c r="H171" i="2"/>
  <c r="W111" i="2"/>
  <c r="H20" i="4"/>
  <c r="M17" i="2"/>
  <c r="I16" i="2"/>
  <c r="H17" i="2"/>
  <c r="H19" i="10" l="1"/>
  <c r="G111" i="10"/>
  <c r="I110" i="10"/>
  <c r="G53" i="10"/>
  <c r="I52" i="10"/>
  <c r="I21" i="7"/>
  <c r="I19" i="4"/>
  <c r="I87" i="2"/>
  <c r="H88" i="2"/>
  <c r="X85" i="2"/>
  <c r="W86" i="2"/>
  <c r="AB86" i="2"/>
  <c r="AC85" i="2"/>
  <c r="N87" i="2"/>
  <c r="M88" i="2"/>
  <c r="I117" i="2"/>
  <c r="H118" i="2"/>
  <c r="N117" i="2"/>
  <c r="M118" i="2"/>
  <c r="M56" i="2"/>
  <c r="N55" i="2"/>
  <c r="AB59" i="2"/>
  <c r="AC59" i="2" s="1"/>
  <c r="AC58" i="2"/>
  <c r="I55" i="2"/>
  <c r="H56" i="2"/>
  <c r="G22" i="7"/>
  <c r="R25" i="2"/>
  <c r="S24" i="2"/>
  <c r="H114" i="10"/>
  <c r="M20" i="4"/>
  <c r="H84" i="10"/>
  <c r="I83" i="10"/>
  <c r="I18" i="10"/>
  <c r="L23" i="7"/>
  <c r="L20" i="4"/>
  <c r="N19" i="4"/>
  <c r="G20" i="4"/>
  <c r="AB111" i="2"/>
  <c r="AA111" i="2"/>
  <c r="AC110" i="2"/>
  <c r="V111" i="2"/>
  <c r="X111" i="2" s="1"/>
  <c r="N17" i="2"/>
  <c r="L18" i="2"/>
  <c r="G19" i="2"/>
  <c r="M22" i="7"/>
  <c r="N21" i="7"/>
  <c r="H23" i="7"/>
  <c r="I260" i="2"/>
  <c r="H261" i="2"/>
  <c r="M263" i="2"/>
  <c r="N262" i="2"/>
  <c r="I201" i="2"/>
  <c r="H202" i="2"/>
  <c r="M202" i="2"/>
  <c r="N201" i="2"/>
  <c r="I171" i="2"/>
  <c r="H172" i="2"/>
  <c r="M173" i="2"/>
  <c r="N172" i="2"/>
  <c r="W112" i="2"/>
  <c r="H21" i="4"/>
  <c r="M18" i="2"/>
  <c r="H18" i="2"/>
  <c r="I17" i="2"/>
  <c r="H20" i="10" l="1"/>
  <c r="G112" i="10"/>
  <c r="I111" i="10"/>
  <c r="G54" i="10"/>
  <c r="I53" i="10"/>
  <c r="I22" i="7"/>
  <c r="I20" i="4"/>
  <c r="N88" i="2"/>
  <c r="M89" i="2"/>
  <c r="N89" i="2" s="1"/>
  <c r="H89" i="2"/>
  <c r="I89" i="2" s="1"/>
  <c r="I88" i="2"/>
  <c r="AC86" i="2"/>
  <c r="AB87" i="2"/>
  <c r="X86" i="2"/>
  <c r="W87" i="2"/>
  <c r="N118" i="2"/>
  <c r="M119" i="2"/>
  <c r="N119" i="2" s="1"/>
  <c r="I118" i="2"/>
  <c r="H119" i="2"/>
  <c r="I119" i="2" s="1"/>
  <c r="I56" i="2"/>
  <c r="H57" i="2"/>
  <c r="N56" i="2"/>
  <c r="M57" i="2"/>
  <c r="G23" i="7"/>
  <c r="I23" i="7" s="1"/>
  <c r="S25" i="2"/>
  <c r="R26" i="2"/>
  <c r="H115" i="10"/>
  <c r="M21" i="4"/>
  <c r="I84" i="10"/>
  <c r="H85" i="10"/>
  <c r="I19" i="10"/>
  <c r="L24" i="7"/>
  <c r="N20" i="4"/>
  <c r="L21" i="4"/>
  <c r="G21" i="4"/>
  <c r="AB112" i="2"/>
  <c r="N18" i="2"/>
  <c r="AA112" i="2"/>
  <c r="AC111" i="2"/>
  <c r="V112" i="2"/>
  <c r="X112" i="2" s="1"/>
  <c r="L19" i="2"/>
  <c r="G20" i="2"/>
  <c r="H24" i="7"/>
  <c r="N22" i="7"/>
  <c r="M23" i="7"/>
  <c r="M264" i="2"/>
  <c r="N263" i="2"/>
  <c r="H262" i="2"/>
  <c r="I261" i="2"/>
  <c r="M203" i="2"/>
  <c r="N202" i="2"/>
  <c r="I202" i="2"/>
  <c r="H203" i="2"/>
  <c r="N173" i="2"/>
  <c r="M174" i="2"/>
  <c r="I172" i="2"/>
  <c r="H173" i="2"/>
  <c r="W113" i="2"/>
  <c r="H22" i="4"/>
  <c r="M19" i="2"/>
  <c r="I18" i="2"/>
  <c r="H19" i="2"/>
  <c r="H21" i="10" l="1"/>
  <c r="G113" i="10"/>
  <c r="I112" i="10"/>
  <c r="G55" i="10"/>
  <c r="I54" i="10"/>
  <c r="I21" i="4"/>
  <c r="W88" i="2"/>
  <c r="X87" i="2"/>
  <c r="AC87" i="2"/>
  <c r="AB88" i="2"/>
  <c r="N57" i="2"/>
  <c r="M58" i="2"/>
  <c r="H58" i="2"/>
  <c r="I57" i="2"/>
  <c r="G24" i="7"/>
  <c r="R27" i="2"/>
  <c r="S26" i="2"/>
  <c r="H116" i="10"/>
  <c r="M22" i="4"/>
  <c r="H86" i="10"/>
  <c r="I85" i="10"/>
  <c r="I20" i="10"/>
  <c r="L25" i="7"/>
  <c r="L22" i="4"/>
  <c r="N21" i="4"/>
  <c r="G22" i="4"/>
  <c r="AB113" i="2"/>
  <c r="N19" i="2"/>
  <c r="AA113" i="2"/>
  <c r="AC112" i="2"/>
  <c r="V113" i="2"/>
  <c r="X113" i="2" s="1"/>
  <c r="L20" i="2"/>
  <c r="G21" i="2"/>
  <c r="N23" i="7"/>
  <c r="M24" i="7"/>
  <c r="H25" i="7"/>
  <c r="I262" i="2"/>
  <c r="H263" i="2"/>
  <c r="M265" i="2"/>
  <c r="N264" i="2"/>
  <c r="I203" i="2"/>
  <c r="H204" i="2"/>
  <c r="N203" i="2"/>
  <c r="M204" i="2"/>
  <c r="H174" i="2"/>
  <c r="I173" i="2"/>
  <c r="M175" i="2"/>
  <c r="N174" i="2"/>
  <c r="W114" i="2"/>
  <c r="H23" i="4"/>
  <c r="M20" i="2"/>
  <c r="H20" i="2"/>
  <c r="I19" i="2"/>
  <c r="H22" i="10" l="1"/>
  <c r="G114" i="10"/>
  <c r="I113" i="10"/>
  <c r="G56" i="10"/>
  <c r="I55" i="10"/>
  <c r="I24" i="7"/>
  <c r="I22" i="4"/>
  <c r="AB89" i="2"/>
  <c r="AC89" i="2" s="1"/>
  <c r="AC88" i="2"/>
  <c r="W89" i="2"/>
  <c r="X89" i="2" s="1"/>
  <c r="X88" i="2"/>
  <c r="H59" i="2"/>
  <c r="I59" i="2" s="1"/>
  <c r="I58" i="2"/>
  <c r="N58" i="2"/>
  <c r="M59" i="2"/>
  <c r="N59" i="2" s="1"/>
  <c r="G25" i="7"/>
  <c r="S27" i="2"/>
  <c r="R28" i="2"/>
  <c r="H117" i="10"/>
  <c r="M23" i="4"/>
  <c r="H87" i="10"/>
  <c r="I86" i="10"/>
  <c r="I21" i="10"/>
  <c r="L26" i="7"/>
  <c r="N22" i="4"/>
  <c r="L23" i="4"/>
  <c r="G23" i="4"/>
  <c r="N20" i="2"/>
  <c r="AB114" i="2"/>
  <c r="AA114" i="2"/>
  <c r="AC113" i="2"/>
  <c r="V114" i="2"/>
  <c r="X114" i="2" s="1"/>
  <c r="L21" i="2"/>
  <c r="G22" i="2"/>
  <c r="H26" i="7"/>
  <c r="N24" i="7"/>
  <c r="M25" i="7"/>
  <c r="M266" i="2"/>
  <c r="N265" i="2"/>
  <c r="I263" i="2"/>
  <c r="H264" i="2"/>
  <c r="N204" i="2"/>
  <c r="M205" i="2"/>
  <c r="I204" i="2"/>
  <c r="H205" i="2"/>
  <c r="N175" i="2"/>
  <c r="M176" i="2"/>
  <c r="I174" i="2"/>
  <c r="H175" i="2"/>
  <c r="M21" i="2"/>
  <c r="M22" i="2" s="1"/>
  <c r="W115" i="2"/>
  <c r="H24" i="4"/>
  <c r="I20" i="2"/>
  <c r="H21" i="2"/>
  <c r="H23" i="10" l="1"/>
  <c r="G115" i="10"/>
  <c r="I114" i="10"/>
  <c r="G57" i="10"/>
  <c r="I56" i="10"/>
  <c r="I25" i="7"/>
  <c r="I23" i="4"/>
  <c r="G26" i="7"/>
  <c r="I26" i="7" s="1"/>
  <c r="R29" i="2"/>
  <c r="S29" i="2" s="1"/>
  <c r="S28" i="2"/>
  <c r="H118" i="10"/>
  <c r="M24" i="4"/>
  <c r="H88" i="10"/>
  <c r="I88" i="10" s="1"/>
  <c r="I87" i="10"/>
  <c r="I22" i="10"/>
  <c r="L27" i="7"/>
  <c r="L24" i="4"/>
  <c r="N23" i="4"/>
  <c r="G24" i="4"/>
  <c r="AB115" i="2"/>
  <c r="N21" i="2"/>
  <c r="AA115" i="2"/>
  <c r="AC114" i="2"/>
  <c r="V115" i="2"/>
  <c r="X115" i="2" s="1"/>
  <c r="L22" i="2"/>
  <c r="N22" i="2" s="1"/>
  <c r="G23" i="2"/>
  <c r="M26" i="7"/>
  <c r="N25" i="7"/>
  <c r="H27" i="7"/>
  <c r="I264" i="2"/>
  <c r="H265" i="2"/>
  <c r="N266" i="2"/>
  <c r="M267" i="2"/>
  <c r="H206" i="2"/>
  <c r="I205" i="2"/>
  <c r="N205" i="2"/>
  <c r="M206" i="2"/>
  <c r="I175" i="2"/>
  <c r="H176" i="2"/>
  <c r="M177" i="2"/>
  <c r="N176" i="2"/>
  <c r="W116" i="2"/>
  <c r="H25" i="4"/>
  <c r="H22" i="2"/>
  <c r="I21" i="2"/>
  <c r="M23" i="2"/>
  <c r="H24" i="10" l="1"/>
  <c r="G116" i="10"/>
  <c r="I115" i="10"/>
  <c r="G58" i="10"/>
  <c r="I57" i="10"/>
  <c r="I24" i="4"/>
  <c r="G27" i="7"/>
  <c r="D115" i="9" s="1"/>
  <c r="B116" i="9" s="1"/>
  <c r="M25" i="4"/>
  <c r="I23" i="10"/>
  <c r="L28" i="7"/>
  <c r="H115" i="9"/>
  <c r="L25" i="4"/>
  <c r="N24" i="4"/>
  <c r="G25" i="4"/>
  <c r="AB116" i="2"/>
  <c r="AA116" i="2"/>
  <c r="AC115" i="2"/>
  <c r="V116" i="2"/>
  <c r="X116" i="2" s="1"/>
  <c r="L23" i="2"/>
  <c r="G24" i="2"/>
  <c r="H28" i="7"/>
  <c r="N26" i="7"/>
  <c r="M27" i="7"/>
  <c r="M268" i="2"/>
  <c r="N267" i="2"/>
  <c r="H266" i="2"/>
  <c r="I265" i="2"/>
  <c r="N206" i="2"/>
  <c r="M207" i="2"/>
  <c r="I206" i="2"/>
  <c r="H207" i="2"/>
  <c r="N177" i="2"/>
  <c r="M178" i="2"/>
  <c r="I176" i="2"/>
  <c r="H177" i="2"/>
  <c r="W117" i="2"/>
  <c r="H26" i="4"/>
  <c r="M24" i="2"/>
  <c r="I22" i="2"/>
  <c r="H23" i="2"/>
  <c r="I27" i="7" l="1"/>
  <c r="H25" i="10"/>
  <c r="G117" i="10"/>
  <c r="I116" i="10"/>
  <c r="I25" i="4"/>
  <c r="G28" i="7"/>
  <c r="I28" i="7" s="1"/>
  <c r="M26" i="4"/>
  <c r="I24" i="10"/>
  <c r="H58" i="10"/>
  <c r="L26" i="4"/>
  <c r="N25" i="4"/>
  <c r="G26" i="4"/>
  <c r="AB117" i="2"/>
  <c r="AA117" i="2"/>
  <c r="AC116" i="2"/>
  <c r="V117" i="2"/>
  <c r="X117" i="2" s="1"/>
  <c r="L24" i="2"/>
  <c r="N24" i="2" s="1"/>
  <c r="N23" i="2"/>
  <c r="G25" i="2"/>
  <c r="M28" i="7"/>
  <c r="N28" i="7" s="1"/>
  <c r="N27" i="7"/>
  <c r="I266" i="2"/>
  <c r="H267" i="2"/>
  <c r="M269" i="2"/>
  <c r="N269" i="2" s="1"/>
  <c r="N268" i="2"/>
  <c r="M208" i="2"/>
  <c r="N207" i="2"/>
  <c r="H208" i="2"/>
  <c r="I207" i="2"/>
  <c r="M179" i="2"/>
  <c r="N179" i="2" s="1"/>
  <c r="N178" i="2"/>
  <c r="H178" i="2"/>
  <c r="I177" i="2"/>
  <c r="W118" i="2"/>
  <c r="H27" i="4"/>
  <c r="I23" i="2"/>
  <c r="H24" i="2"/>
  <c r="M25" i="2"/>
  <c r="H26" i="10" l="1"/>
  <c r="G118" i="10"/>
  <c r="I118" i="10" s="1"/>
  <c r="I117" i="10"/>
  <c r="I58" i="10"/>
  <c r="I26" i="4"/>
  <c r="M27" i="4"/>
  <c r="I25" i="10"/>
  <c r="L27" i="4"/>
  <c r="N26" i="4"/>
  <c r="G27" i="4"/>
  <c r="AB118" i="2"/>
  <c r="AA118" i="2"/>
  <c r="AC117" i="2"/>
  <c r="V118" i="2"/>
  <c r="X118" i="2" s="1"/>
  <c r="L25" i="2"/>
  <c r="G26" i="2"/>
  <c r="H268" i="2"/>
  <c r="I267" i="2"/>
  <c r="I208" i="2"/>
  <c r="H209" i="2"/>
  <c r="I209" i="2" s="1"/>
  <c r="N208" i="2"/>
  <c r="M209" i="2"/>
  <c r="N209" i="2" s="1"/>
  <c r="I178" i="2"/>
  <c r="H179" i="2"/>
  <c r="I179" i="2" s="1"/>
  <c r="W119" i="2"/>
  <c r="H28" i="4"/>
  <c r="M26" i="2"/>
  <c r="I24" i="2"/>
  <c r="H25" i="2"/>
  <c r="H27" i="10" l="1"/>
  <c r="I27" i="4"/>
  <c r="M28" i="4"/>
  <c r="I26" i="10"/>
  <c r="L28" i="4"/>
  <c r="N27" i="4"/>
  <c r="G28" i="4"/>
  <c r="AB119" i="2"/>
  <c r="AC118" i="2"/>
  <c r="AA119" i="2"/>
  <c r="V119" i="2"/>
  <c r="L26" i="2"/>
  <c r="N25" i="2"/>
  <c r="G27" i="2"/>
  <c r="I268" i="2"/>
  <c r="H269" i="2"/>
  <c r="H26" i="2"/>
  <c r="I25" i="2"/>
  <c r="M27" i="2"/>
  <c r="H28" i="10" l="1"/>
  <c r="G28" i="10"/>
  <c r="I269" i="2"/>
  <c r="I27" i="10"/>
  <c r="N28" i="4"/>
  <c r="I28" i="4"/>
  <c r="AC119" i="2"/>
  <c r="X119" i="2"/>
  <c r="L27" i="2"/>
  <c r="N26" i="2"/>
  <c r="G28" i="2"/>
  <c r="G29" i="2" s="1"/>
  <c r="M28" i="2"/>
  <c r="I26" i="2"/>
  <c r="H27" i="2"/>
  <c r="I28" i="10" l="1"/>
  <c r="L28" i="2"/>
  <c r="N28" i="2" s="1"/>
  <c r="N27" i="2"/>
  <c r="I27" i="2"/>
  <c r="H28" i="2"/>
  <c r="M29" i="2"/>
  <c r="H29" i="2" l="1"/>
  <c r="I29" i="2" s="1"/>
  <c r="I28" i="2"/>
  <c r="L29" i="2"/>
  <c r="N29" i="2" l="1"/>
  <c r="F54" i="9" l="1"/>
  <c r="L37" i="4"/>
  <c r="L38" i="4"/>
  <c r="N38" i="4" s="1"/>
  <c r="L39" i="4"/>
  <c r="L40" i="4" s="1"/>
  <c r="N39" i="4"/>
  <c r="J37" i="4"/>
  <c r="F34" i="9" s="1"/>
  <c r="F49" i="9"/>
  <c r="F50" i="9"/>
  <c r="F47" i="9"/>
  <c r="F51" i="9"/>
  <c r="F39" i="9"/>
  <c r="F48" i="9"/>
  <c r="F42" i="9"/>
  <c r="F46" i="9"/>
  <c r="F35" i="9"/>
  <c r="F52" i="9"/>
  <c r="F43" i="9"/>
  <c r="F41" i="9"/>
  <c r="F40" i="9"/>
  <c r="F36" i="9"/>
  <c r="F45" i="9"/>
  <c r="F38" i="9"/>
  <c r="F44" i="9"/>
  <c r="F37" i="9"/>
  <c r="F53" i="9"/>
  <c r="E59" i="4"/>
  <c r="N40" i="4" l="1"/>
  <c r="L41" i="4"/>
  <c r="F55" i="9"/>
  <c r="H34" i="9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B56" i="9" s="1"/>
  <c r="D211" i="9" l="1"/>
  <c r="E211" i="9" s="1"/>
  <c r="D213" i="9"/>
  <c r="E213" i="9" s="1"/>
  <c r="L42" i="4"/>
  <c r="N41" i="4"/>
  <c r="L43" i="4" l="1"/>
  <c r="N42" i="4"/>
  <c r="N43" i="4" l="1"/>
  <c r="L44" i="4"/>
  <c r="N44" i="4" l="1"/>
  <c r="L45" i="4"/>
  <c r="L46" i="4" l="1"/>
  <c r="N45" i="4"/>
  <c r="L47" i="4" l="1"/>
  <c r="N46" i="4"/>
  <c r="L48" i="4" l="1"/>
  <c r="N47" i="4"/>
  <c r="L49" i="4" l="1"/>
  <c r="N48" i="4"/>
  <c r="N49" i="4" l="1"/>
  <c r="L50" i="4"/>
  <c r="L51" i="4" l="1"/>
  <c r="N50" i="4"/>
  <c r="N51" i="4" l="1"/>
  <c r="L52" i="4"/>
  <c r="N52" i="4" l="1"/>
  <c r="L53" i="4"/>
  <c r="L54" i="4" l="1"/>
  <c r="N53" i="4"/>
  <c r="L55" i="4" l="1"/>
  <c r="N54" i="4"/>
  <c r="N55" i="4" l="1"/>
  <c r="L56" i="4"/>
  <c r="L57" i="4" l="1"/>
  <c r="N56" i="4"/>
  <c r="L58" i="4" l="1"/>
  <c r="N58" i="4" s="1"/>
  <c r="N57" i="4"/>
</calcChain>
</file>

<file path=xl/sharedStrings.xml><?xml version="1.0" encoding="utf-8"?>
<sst xmlns="http://schemas.openxmlformats.org/spreadsheetml/2006/main" count="1125" uniqueCount="135">
  <si>
    <t>Activity Center</t>
  </si>
  <si>
    <t>Year</t>
  </si>
  <si>
    <t>Quarter</t>
  </si>
  <si>
    <t>Start Date</t>
  </si>
  <si>
    <t>Quarter $ Projection</t>
  </si>
  <si>
    <t>Cumulative $ Spent Projection</t>
  </si>
  <si>
    <t>Actual Quarter $ Spent</t>
  </si>
  <si>
    <t>Actual Total $ Spent</t>
  </si>
  <si>
    <t>Actual Cumulative % Spent</t>
  </si>
  <si>
    <t xml:space="preserve">End Date     </t>
  </si>
  <si>
    <t>Delivery projection</t>
  </si>
  <si>
    <t>Deliveries  Completed</t>
  </si>
  <si>
    <t>Total:</t>
  </si>
  <si>
    <t>Totals:</t>
  </si>
  <si>
    <t xml:space="preserve">New Rental Houisng Units </t>
  </si>
  <si>
    <t xml:space="preserve">New Single Family Housing Units </t>
  </si>
  <si>
    <t>c</t>
  </si>
  <si>
    <t xml:space="preserve">Activity 510PD - Project Delivery </t>
  </si>
  <si>
    <t>Activity 510- Single Family Housing &amp; Down Payment Assistance</t>
  </si>
  <si>
    <t>Activity 520-New Rental Housing</t>
  </si>
  <si>
    <t>Activity 520PD- Project Delivery</t>
  </si>
  <si>
    <t>Activity 530 -Infrastructure in Support of Housing</t>
  </si>
  <si>
    <t>Activity 530PD -Project Delivery</t>
  </si>
  <si>
    <t xml:space="preserve">State Admin </t>
  </si>
  <si>
    <t xml:space="preserve">Admin </t>
  </si>
  <si>
    <t>510- Single Family Housing</t>
  </si>
  <si>
    <t>520- New Rental Housing</t>
  </si>
  <si>
    <t>530- Infrastructure in Support of Housing</t>
  </si>
  <si>
    <t xml:space="preserve">Projected Quarterly </t>
  </si>
  <si>
    <t>Projected Total</t>
  </si>
  <si>
    <t>Actual Quarterly</t>
  </si>
  <si>
    <t>Actual Total</t>
  </si>
  <si>
    <t xml:space="preserve">Actual Quarterly </t>
  </si>
  <si>
    <t xml:space="preserve">Actual Total </t>
  </si>
  <si>
    <t>Actual Quarterly PD</t>
  </si>
  <si>
    <t>Projected Quarterly PD</t>
  </si>
  <si>
    <t xml:space="preserve">Projected Total PD </t>
  </si>
  <si>
    <t xml:space="preserve">Actual Total PD </t>
  </si>
  <si>
    <t xml:space="preserve">Totals: </t>
  </si>
  <si>
    <t xml:space="preserve">Projection Quarterly </t>
  </si>
  <si>
    <t xml:space="preserve">Projection Total </t>
  </si>
  <si>
    <t xml:space="preserve">Grant Benchmarks </t>
  </si>
  <si>
    <t>Projected Percentage</t>
  </si>
  <si>
    <t>Required Percentage</t>
  </si>
  <si>
    <t xml:space="preserve">Projected Amount </t>
  </si>
  <si>
    <t xml:space="preserve">Actual Amount </t>
  </si>
  <si>
    <t>Actual Percentage</t>
  </si>
  <si>
    <t xml:space="preserve">HUD MID </t>
  </si>
  <si>
    <t xml:space="preserve">State MID </t>
  </si>
  <si>
    <t>No More 20%</t>
  </si>
  <si>
    <t>At least 80%</t>
  </si>
  <si>
    <t xml:space="preserve">LMI </t>
  </si>
  <si>
    <t>Required Amount</t>
  </si>
  <si>
    <t>At least 70%</t>
  </si>
  <si>
    <t>Admin</t>
  </si>
  <si>
    <t>No more than 5%</t>
  </si>
  <si>
    <t>Activity 510DPA - Downpayment Assistance</t>
  </si>
  <si>
    <t>Projected Quarterly DPA</t>
  </si>
  <si>
    <t xml:space="preserve">Projected Total DPA </t>
  </si>
  <si>
    <t>Buyouts</t>
  </si>
  <si>
    <t>Stormwater Infrastructure</t>
  </si>
  <si>
    <t>Planning</t>
  </si>
  <si>
    <t xml:space="preserve">19-DRH-005 Glenwood - 210 Valley </t>
  </si>
  <si>
    <t>19-DRH-009 Hamburg - North Ridge Hills</t>
  </si>
  <si>
    <t>19-DRH-010 Woodbine - Harvest Hills</t>
  </si>
  <si>
    <t>19-DRH-011 Malvern - Wabash Landing</t>
  </si>
  <si>
    <t xml:space="preserve">19-DRH-012 Logan </t>
  </si>
  <si>
    <t>19-DRH-013 Malvern - Prospect Ave Townhomes</t>
  </si>
  <si>
    <t>19-DRH-014 Tabor - 621 Main Street</t>
  </si>
  <si>
    <t>19-DRH-015 Tabor - 624 Center</t>
  </si>
  <si>
    <t>19-DRH-017 Tabor - 509 Sherman</t>
  </si>
  <si>
    <t>19-DRH-018 Glenwood - Arbor Hills</t>
  </si>
  <si>
    <t>Actual Quarterly DPA</t>
  </si>
  <si>
    <t xml:space="preserve">Actual Total DPA </t>
  </si>
  <si>
    <t>Projected 510</t>
  </si>
  <si>
    <t>Actual 510</t>
  </si>
  <si>
    <t>Projected Quarterly Construction</t>
  </si>
  <si>
    <t>Actual Quarterly Construction</t>
  </si>
  <si>
    <t>Projected Total Construction</t>
  </si>
  <si>
    <t>Actual Total Construction</t>
  </si>
  <si>
    <t>19-DRH-001 Glenwood - 712 Lofts</t>
  </si>
  <si>
    <t>19-DRH-002 Glenwood - 308 N Hazel</t>
  </si>
  <si>
    <t>19-DRH-004 Glenwood - 408 N Myrtle</t>
  </si>
  <si>
    <t>19-DRH-006 Glenwood - 306 N Locust</t>
  </si>
  <si>
    <t>19-DRH-007 Glenwood - 1001 N Linn</t>
  </si>
  <si>
    <t>19-DRH-008 Glenwood - Burr Oak</t>
  </si>
  <si>
    <t>19-DRH-016 Glenwood - 110 Nuckolls</t>
  </si>
  <si>
    <t>Projected 530</t>
  </si>
  <si>
    <t>Actual 530</t>
  </si>
  <si>
    <t>Projected 520</t>
  </si>
  <si>
    <t>Actual 520</t>
  </si>
  <si>
    <t>19-DRMB-001 Pacific Junction LMI Buyouts</t>
  </si>
  <si>
    <t>Activity 540 - LMI Buyouts</t>
  </si>
  <si>
    <t xml:space="preserve">Activity 540PD- LMI Buyouts PD </t>
  </si>
  <si>
    <t>Buyouts Projected</t>
  </si>
  <si>
    <t>Buyouts Completed</t>
  </si>
  <si>
    <t>19-DRMB-002 Fremont County LMI Buyouts</t>
  </si>
  <si>
    <t>19-DRMB-003 Hamburg LMI Buyouts</t>
  </si>
  <si>
    <t>19-DRMB-001 Pacific Junction UN Buyouts</t>
  </si>
  <si>
    <t>Activity 545 - UN Buyouts</t>
  </si>
  <si>
    <t xml:space="preserve">Activity 545PD- UN  Buyouts PD </t>
  </si>
  <si>
    <t>19-DRMB-002 Fremont County UN Buyouts</t>
  </si>
  <si>
    <t>19-DRMB-003 Hamburg UN Buyouts</t>
  </si>
  <si>
    <t>19-DRMB-005 Oakland UN Buyouts</t>
  </si>
  <si>
    <t>19-DRMB-006 Pottawattamie County UN Buyouts</t>
  </si>
  <si>
    <t>19-DRMB-007 Muscatine County UN Buyouts</t>
  </si>
  <si>
    <t>19-DRMB-008 Cherokee UN Buyouts</t>
  </si>
  <si>
    <t>Projected 540/545</t>
  </si>
  <si>
    <t>Actual 540/545</t>
  </si>
  <si>
    <t xml:space="preserve">19-DRI-001 Missouri Valley </t>
  </si>
  <si>
    <t>Activity 570 - Stormwater Infrastructure</t>
  </si>
  <si>
    <t>Activity 570PD- Project Delivery</t>
  </si>
  <si>
    <t>Persons Benefited Projected</t>
  </si>
  <si>
    <t>Persons Benefited Actual</t>
  </si>
  <si>
    <t>19-DRI-002 Hamburg</t>
  </si>
  <si>
    <t>19-DRI-003 Modale</t>
  </si>
  <si>
    <t>19-DRI-004 Pacific Junction</t>
  </si>
  <si>
    <t>Projected 570</t>
  </si>
  <si>
    <t>Actual 570</t>
  </si>
  <si>
    <t>19-ADMIN-001 Cloudburst</t>
  </si>
  <si>
    <t xml:space="preserve">19-ADMIN-002 BNIM </t>
  </si>
  <si>
    <t>19-ADMIN-003 M2X Energy dba The Element Group</t>
  </si>
  <si>
    <t xml:space="preserve">19-ADMIN-004 IDALS </t>
  </si>
  <si>
    <t>19-ADMIN-005 ICF</t>
  </si>
  <si>
    <t>19-CDTA-005-185 ISU Extension &amp; Outreach</t>
  </si>
  <si>
    <t>20-ADMIN-001 Heartland Energy Consultants</t>
  </si>
  <si>
    <t xml:space="preserve">19-DRPL-001 University of Iowa </t>
  </si>
  <si>
    <t>19-DRPL-002 Iowa State University</t>
  </si>
  <si>
    <t>19-DRPL-003 EDA Planning</t>
  </si>
  <si>
    <t xml:space="preserve">Projected </t>
  </si>
  <si>
    <t>Actual</t>
  </si>
  <si>
    <t>19-DRMB-004 Mills County LMI Buyouts</t>
  </si>
  <si>
    <t>19-DRMB-004 Mills County UN Buyouts</t>
  </si>
  <si>
    <t>19-DRPL-003 University of Iowa</t>
  </si>
  <si>
    <t>19-DRH-003 Glenwood - Birch Lane (fka Maplewood Circle)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</si>
</sst>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rgb="FF92D050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thin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double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2060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double">
        <color rgb="FF002060"/>
      </bottom>
      <diagonal/>
    </border>
    <border>
      <left style="thin">
        <color indexed="64"/>
      </left>
      <right/>
      <top style="thin">
        <color indexed="64"/>
      </top>
      <bottom style="double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rgb="FF002060"/>
      </left>
      <right style="thin">
        <color theme="1"/>
      </right>
      <top style="double">
        <color rgb="FF00206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rgb="FF002060"/>
      </top>
      <bottom style="thin">
        <color theme="1"/>
      </bottom>
      <diagonal/>
    </border>
    <border>
      <left style="double">
        <color rgb="FF00206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002060"/>
      </left>
      <right style="thin">
        <color theme="1"/>
      </right>
      <top style="thin">
        <color theme="1"/>
      </top>
      <bottom style="double">
        <color rgb="FF00206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rgb="FF00206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double">
        <color rgb="FF00206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2060"/>
      </left>
      <right style="thin">
        <color indexed="64"/>
      </right>
      <top style="double">
        <color rgb="FF002060"/>
      </top>
      <bottom/>
      <diagonal/>
    </border>
    <border>
      <left style="thin">
        <color indexed="64"/>
      </left>
      <right style="thin">
        <color indexed="64"/>
      </right>
      <top style="double">
        <color rgb="FF002060"/>
      </top>
      <bottom/>
      <diagonal/>
    </border>
    <border>
      <left style="thin">
        <color indexed="64"/>
      </left>
      <right style="double">
        <color rgb="FF002060"/>
      </right>
      <top style="double">
        <color rgb="FF00206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rgb="FF002060"/>
      </right>
      <top style="double">
        <color rgb="FF002060"/>
      </top>
      <bottom style="thin">
        <color theme="1"/>
      </bottom>
      <diagonal/>
    </border>
    <border>
      <left/>
      <right style="double">
        <color rgb="FF002060"/>
      </right>
      <top style="thin">
        <color theme="1"/>
      </top>
      <bottom style="thin">
        <color theme="1"/>
      </bottom>
      <diagonal/>
    </border>
    <border>
      <left/>
      <right style="double">
        <color rgb="FF002060"/>
      </right>
      <top style="thin">
        <color indexed="64"/>
      </top>
      <bottom style="double">
        <color rgb="FF0020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rgb="FF002060"/>
      </bottom>
      <diagonal/>
    </border>
    <border>
      <left/>
      <right style="thin">
        <color indexed="64"/>
      </right>
      <top style="thin">
        <color indexed="64"/>
      </top>
      <bottom style="double">
        <color rgb="FF002060"/>
      </bottom>
      <diagonal/>
    </border>
    <border>
      <left/>
      <right/>
      <top style="thin">
        <color theme="1"/>
      </top>
      <bottom style="double">
        <color rgb="FF002060"/>
      </bottom>
      <diagonal/>
    </border>
    <border>
      <left/>
      <right style="thin">
        <color indexed="64"/>
      </right>
      <top style="thin">
        <color theme="1"/>
      </top>
      <bottom style="double">
        <color rgb="FF002060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double">
        <color rgb="FF0020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002060"/>
      </right>
      <top/>
      <bottom/>
      <diagonal/>
    </border>
    <border>
      <left style="double">
        <color rgb="FF002060"/>
      </left>
      <right style="thin">
        <color theme="1"/>
      </right>
      <top style="thin">
        <color theme="1"/>
      </top>
      <bottom/>
      <diagonal/>
    </border>
    <border>
      <left style="double">
        <color rgb="FF00206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002060"/>
      </right>
      <top style="thin">
        <color indexed="64"/>
      </top>
      <bottom/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</cellStyleXfs>
  <cellXfs count="220">
    <xf numFmtId="0" fontId="0" fillId="0" borderId="0" xfId="0"/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/>
    <xf numFmtId="164" fontId="0" fillId="0" borderId="2" xfId="1" applyNumberFormat="1" applyFont="1" applyBorder="1"/>
    <xf numFmtId="44" fontId="0" fillId="0" borderId="0" xfId="1" applyFont="1"/>
    <xf numFmtId="0" fontId="1" fillId="2" borderId="2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164" fontId="0" fillId="0" borderId="8" xfId="1" applyNumberFormat="1" applyFont="1" applyFill="1" applyBorder="1"/>
    <xf numFmtId="164" fontId="0" fillId="0" borderId="8" xfId="1" applyNumberFormat="1" applyFont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vertical="top" wrapText="1"/>
    </xf>
    <xf numFmtId="1" fontId="1" fillId="0" borderId="5" xfId="0" applyNumberFormat="1" applyFont="1" applyBorder="1"/>
    <xf numFmtId="164" fontId="0" fillId="0" borderId="14" xfId="1" applyNumberFormat="1" applyFont="1" applyBorder="1"/>
    <xf numFmtId="9" fontId="1" fillId="0" borderId="9" xfId="2" applyFont="1" applyFill="1" applyBorder="1"/>
    <xf numFmtId="164" fontId="0" fillId="0" borderId="15" xfId="1" applyNumberFormat="1" applyFont="1" applyFill="1" applyBorder="1"/>
    <xf numFmtId="164" fontId="0" fillId="0" borderId="15" xfId="1" applyNumberFormat="1" applyFont="1" applyBorder="1"/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164" fontId="0" fillId="0" borderId="19" xfId="1" applyNumberFormat="1" applyFont="1" applyFill="1" applyBorder="1"/>
    <xf numFmtId="164" fontId="0" fillId="0" borderId="19" xfId="1" applyNumberFormat="1" applyFont="1" applyBorder="1"/>
    <xf numFmtId="0" fontId="1" fillId="2" borderId="23" xfId="0" applyFont="1" applyFill="1" applyBorder="1" applyAlignment="1">
      <alignment vertical="top" wrapText="1"/>
    </xf>
    <xf numFmtId="9" fontId="0" fillId="0" borderId="24" xfId="2" applyFont="1" applyBorder="1"/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top" wrapText="1"/>
    </xf>
    <xf numFmtId="0" fontId="4" fillId="0" borderId="0" xfId="0" applyFont="1"/>
    <xf numFmtId="44" fontId="4" fillId="0" borderId="0" xfId="1" applyFont="1" applyFill="1" applyBorder="1"/>
    <xf numFmtId="164" fontId="4" fillId="0" borderId="0" xfId="0" applyNumberFormat="1" applyFont="1"/>
    <xf numFmtId="8" fontId="4" fillId="0" borderId="0" xfId="0" applyNumberFormat="1" applyFont="1"/>
    <xf numFmtId="44" fontId="2" fillId="0" borderId="15" xfId="1" applyFont="1" applyBorder="1" applyAlignment="1">
      <alignment vertical="center" wrapText="1"/>
    </xf>
    <xf numFmtId="44" fontId="0" fillId="0" borderId="0" xfId="0" applyNumberFormat="1"/>
    <xf numFmtId="44" fontId="4" fillId="0" borderId="21" xfId="1" applyFont="1" applyFill="1" applyBorder="1"/>
    <xf numFmtId="164" fontId="4" fillId="0" borderId="25" xfId="0" applyNumberFormat="1" applyFont="1" applyBorder="1"/>
    <xf numFmtId="0" fontId="4" fillId="0" borderId="2" xfId="0" applyFont="1" applyBorder="1"/>
    <xf numFmtId="0" fontId="4" fillId="0" borderId="3" xfId="0" applyFont="1" applyBorder="1"/>
    <xf numFmtId="44" fontId="4" fillId="0" borderId="20" xfId="1" applyFont="1" applyFill="1" applyBorder="1"/>
    <xf numFmtId="8" fontId="4" fillId="0" borderId="10" xfId="0" applyNumberFormat="1" applyFont="1" applyBorder="1"/>
    <xf numFmtId="44" fontId="4" fillId="0" borderId="11" xfId="1" applyFont="1" applyFill="1" applyBorder="1"/>
    <xf numFmtId="164" fontId="4" fillId="0" borderId="11" xfId="0" applyNumberFormat="1" applyFont="1" applyBorder="1"/>
    <xf numFmtId="9" fontId="4" fillId="0" borderId="12" xfId="0" applyNumberFormat="1" applyFont="1" applyBorder="1"/>
    <xf numFmtId="0" fontId="4" fillId="0" borderId="5" xfId="0" applyFont="1" applyBorder="1"/>
    <xf numFmtId="9" fontId="4" fillId="0" borderId="0" xfId="0" applyNumberFormat="1" applyFont="1"/>
    <xf numFmtId="44" fontId="4" fillId="0" borderId="13" xfId="0" applyNumberFormat="1" applyFont="1" applyBorder="1"/>
    <xf numFmtId="44" fontId="4" fillId="0" borderId="11" xfId="0" applyNumberFormat="1" applyFont="1" applyBorder="1"/>
    <xf numFmtId="44" fontId="4" fillId="0" borderId="0" xfId="0" applyNumberFormat="1" applyFont="1"/>
    <xf numFmtId="0" fontId="2" fillId="2" borderId="23" xfId="0" applyFont="1" applyFill="1" applyBorder="1" applyAlignment="1">
      <alignment vertical="center" wrapText="1"/>
    </xf>
    <xf numFmtId="164" fontId="0" fillId="0" borderId="24" xfId="1" applyNumberFormat="1" applyFont="1" applyFill="1" applyBorder="1"/>
    <xf numFmtId="164" fontId="0" fillId="0" borderId="24" xfId="1" applyNumberFormat="1" applyFont="1" applyBorder="1"/>
    <xf numFmtId="0" fontId="1" fillId="2" borderId="33" xfId="0" applyFont="1" applyFill="1" applyBorder="1" applyAlignment="1">
      <alignment vertical="top" wrapText="1"/>
    </xf>
    <xf numFmtId="9" fontId="1" fillId="0" borderId="34" xfId="2" applyFont="1" applyFill="1" applyBorder="1"/>
    <xf numFmtId="9" fontId="0" fillId="0" borderId="34" xfId="2" applyFont="1" applyBorder="1"/>
    <xf numFmtId="0" fontId="4" fillId="5" borderId="0" xfId="3" applyFont="1" applyFill="1" applyAlignment="1">
      <alignment wrapText="1"/>
    </xf>
    <xf numFmtId="0" fontId="4" fillId="5" borderId="0" xfId="3" applyFont="1" applyFill="1" applyAlignment="1">
      <alignment horizontal="center" wrapText="1"/>
    </xf>
    <xf numFmtId="49" fontId="4" fillId="6" borderId="30" xfId="0" applyNumberFormat="1" applyFont="1" applyFill="1" applyBorder="1" applyAlignment="1">
      <alignment horizontal="center" vertical="center" wrapText="1"/>
    </xf>
    <xf numFmtId="14" fontId="6" fillId="7" borderId="32" xfId="0" applyNumberFormat="1" applyFont="1" applyFill="1" applyBorder="1" applyAlignment="1">
      <alignment vertical="center" wrapText="1"/>
    </xf>
    <xf numFmtId="44" fontId="4" fillId="7" borderId="0" xfId="1" applyFont="1" applyFill="1"/>
    <xf numFmtId="49" fontId="4" fillId="6" borderId="0" xfId="0" applyNumberFormat="1" applyFont="1" applyFill="1" applyAlignment="1">
      <alignment horizontal="center" vertical="center" wrapText="1"/>
    </xf>
    <xf numFmtId="44" fontId="4" fillId="7" borderId="0" xfId="0" applyNumberFormat="1" applyFont="1" applyFill="1"/>
    <xf numFmtId="0" fontId="4" fillId="7" borderId="31" xfId="0" applyFont="1" applyFill="1" applyBorder="1"/>
    <xf numFmtId="0" fontId="4" fillId="7" borderId="0" xfId="3" applyFont="1" applyFill="1" applyAlignment="1">
      <alignment wrapText="1"/>
    </xf>
    <xf numFmtId="0" fontId="4" fillId="7" borderId="0" xfId="0" applyFont="1" applyFill="1"/>
    <xf numFmtId="0" fontId="2" fillId="8" borderId="2" xfId="0" applyFont="1" applyFill="1" applyBorder="1" applyAlignment="1">
      <alignment vertical="center" wrapText="1"/>
    </xf>
    <xf numFmtId="14" fontId="2" fillId="8" borderId="2" xfId="0" applyNumberFormat="1" applyFont="1" applyFill="1" applyBorder="1" applyAlignment="1">
      <alignment vertical="center" wrapText="1"/>
    </xf>
    <xf numFmtId="44" fontId="2" fillId="8" borderId="15" xfId="1" applyFont="1" applyFill="1" applyBorder="1" applyAlignment="1">
      <alignment vertical="center" wrapText="1"/>
    </xf>
    <xf numFmtId="9" fontId="2" fillId="8" borderId="15" xfId="2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top" wrapText="1"/>
    </xf>
    <xf numFmtId="0" fontId="1" fillId="8" borderId="2" xfId="0" applyFont="1" applyFill="1" applyBorder="1" applyAlignment="1">
      <alignment vertical="top" wrapText="1"/>
    </xf>
    <xf numFmtId="44" fontId="2" fillId="8" borderId="24" xfId="1" applyFont="1" applyFill="1" applyBorder="1" applyAlignment="1">
      <alignment vertical="center" wrapText="1"/>
    </xf>
    <xf numFmtId="9" fontId="2" fillId="8" borderId="34" xfId="2" applyFont="1" applyFill="1" applyBorder="1" applyAlignment="1">
      <alignment vertical="center" wrapText="1"/>
    </xf>
    <xf numFmtId="164" fontId="0" fillId="8" borderId="19" xfId="1" applyNumberFormat="1" applyFont="1" applyFill="1" applyBorder="1"/>
    <xf numFmtId="164" fontId="0" fillId="8" borderId="15" xfId="1" applyNumberFormat="1" applyFont="1" applyFill="1" applyBorder="1"/>
    <xf numFmtId="9" fontId="1" fillId="8" borderId="24" xfId="2" applyFont="1" applyFill="1" applyBorder="1"/>
    <xf numFmtId="164" fontId="0" fillId="8" borderId="8" xfId="1" applyNumberFormat="1" applyFont="1" applyFill="1" applyBorder="1"/>
    <xf numFmtId="164" fontId="1" fillId="8" borderId="2" xfId="1" applyNumberFormat="1" applyFont="1" applyFill="1" applyBorder="1"/>
    <xf numFmtId="164" fontId="0" fillId="8" borderId="2" xfId="1" applyNumberFormat="1" applyFont="1" applyFill="1" applyBorder="1"/>
    <xf numFmtId="9" fontId="1" fillId="8" borderId="9" xfId="2" applyFont="1" applyFill="1" applyBorder="1"/>
    <xf numFmtId="0" fontId="2" fillId="2" borderId="43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top" wrapText="1"/>
    </xf>
    <xf numFmtId="0" fontId="2" fillId="2" borderId="47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top" wrapText="1"/>
    </xf>
    <xf numFmtId="0" fontId="1" fillId="2" borderId="36" xfId="0" applyFont="1" applyFill="1" applyBorder="1" applyAlignment="1">
      <alignment vertical="top" wrapText="1"/>
    </xf>
    <xf numFmtId="0" fontId="1" fillId="2" borderId="43" xfId="0" applyFont="1" applyFill="1" applyBorder="1" applyAlignment="1">
      <alignment vertical="top" wrapText="1"/>
    </xf>
    <xf numFmtId="0" fontId="2" fillId="9" borderId="2" xfId="0" applyFont="1" applyFill="1" applyBorder="1" applyAlignment="1">
      <alignment vertical="center" wrapText="1"/>
    </xf>
    <xf numFmtId="14" fontId="2" fillId="9" borderId="2" xfId="0" applyNumberFormat="1" applyFont="1" applyFill="1" applyBorder="1" applyAlignment="1">
      <alignment vertical="center" wrapText="1"/>
    </xf>
    <xf numFmtId="44" fontId="2" fillId="9" borderId="15" xfId="1" applyFont="1" applyFill="1" applyBorder="1" applyAlignment="1">
      <alignment vertical="center" wrapText="1"/>
    </xf>
    <xf numFmtId="164" fontId="0" fillId="9" borderId="15" xfId="1" applyNumberFormat="1" applyFont="1" applyFill="1" applyBorder="1"/>
    <xf numFmtId="164" fontId="0" fillId="9" borderId="24" xfId="1" applyNumberFormat="1" applyFont="1" applyFill="1" applyBorder="1"/>
    <xf numFmtId="9" fontId="1" fillId="9" borderId="34" xfId="2" applyFont="1" applyFill="1" applyBorder="1"/>
    <xf numFmtId="44" fontId="0" fillId="7" borderId="0" xfId="1" applyFont="1" applyFill="1"/>
    <xf numFmtId="9" fontId="0" fillId="0" borderId="0" xfId="0" applyNumberFormat="1"/>
    <xf numFmtId="9" fontId="0" fillId="0" borderId="0" xfId="2" applyFont="1"/>
    <xf numFmtId="0" fontId="0" fillId="2" borderId="0" xfId="0" applyFill="1"/>
    <xf numFmtId="0" fontId="0" fillId="10" borderId="0" xfId="0" applyFill="1" applyAlignment="1">
      <alignment wrapText="1"/>
    </xf>
    <xf numFmtId="164" fontId="0" fillId="9" borderId="19" xfId="1" applyNumberFormat="1" applyFont="1" applyFill="1" applyBorder="1"/>
    <xf numFmtId="9" fontId="1" fillId="9" borderId="24" xfId="2" applyFont="1" applyFill="1" applyBorder="1"/>
    <xf numFmtId="164" fontId="0" fillId="9" borderId="8" xfId="1" applyNumberFormat="1" applyFont="1" applyFill="1" applyBorder="1"/>
    <xf numFmtId="164" fontId="1" fillId="9" borderId="2" xfId="1" applyNumberFormat="1" applyFont="1" applyFill="1" applyBorder="1"/>
    <xf numFmtId="164" fontId="0" fillId="9" borderId="2" xfId="1" applyNumberFormat="1" applyFont="1" applyFill="1" applyBorder="1"/>
    <xf numFmtId="9" fontId="1" fillId="9" borderId="9" xfId="2" applyFont="1" applyFill="1" applyBorder="1"/>
    <xf numFmtId="0" fontId="1" fillId="9" borderId="5" xfId="0" applyFont="1" applyFill="1" applyBorder="1" applyAlignment="1">
      <alignment vertical="top" wrapText="1"/>
    </xf>
    <xf numFmtId="0" fontId="1" fillId="9" borderId="2" xfId="0" applyFont="1" applyFill="1" applyBorder="1" applyAlignment="1">
      <alignment vertical="top" wrapText="1"/>
    </xf>
    <xf numFmtId="0" fontId="0" fillId="9" borderId="0" xfId="0" applyFill="1"/>
    <xf numFmtId="0" fontId="1" fillId="9" borderId="26" xfId="0" applyFont="1" applyFill="1" applyBorder="1" applyAlignment="1">
      <alignment vertical="top" wrapText="1"/>
    </xf>
    <xf numFmtId="9" fontId="1" fillId="8" borderId="34" xfId="2" applyFont="1" applyFill="1" applyBorder="1"/>
    <xf numFmtId="164" fontId="0" fillId="8" borderId="24" xfId="1" applyNumberFormat="1" applyFont="1" applyFill="1" applyBorder="1"/>
    <xf numFmtId="0" fontId="0" fillId="8" borderId="0" xfId="0" applyFill="1"/>
    <xf numFmtId="44" fontId="0" fillId="8" borderId="0" xfId="1" applyFont="1" applyFill="1"/>
    <xf numFmtId="44" fontId="0" fillId="8" borderId="0" xfId="0" applyNumberFormat="1" applyFill="1"/>
    <xf numFmtId="44" fontId="0" fillId="0" borderId="0" xfId="1" applyFont="1" applyFill="1"/>
    <xf numFmtId="0" fontId="5" fillId="0" borderId="0" xfId="4" applyFill="1" applyBorder="1" applyAlignment="1"/>
    <xf numFmtId="44" fontId="4" fillId="7" borderId="0" xfId="1" applyFont="1" applyFill="1" applyBorder="1"/>
    <xf numFmtId="9" fontId="1" fillId="8" borderId="3" xfId="2" applyFont="1" applyFill="1" applyBorder="1"/>
    <xf numFmtId="0" fontId="0" fillId="8" borderId="15" xfId="0" applyFill="1" applyBorder="1"/>
    <xf numFmtId="9" fontId="4" fillId="0" borderId="35" xfId="2" applyFont="1" applyBorder="1"/>
    <xf numFmtId="44" fontId="4" fillId="0" borderId="0" xfId="1" applyFont="1" applyFill="1"/>
    <xf numFmtId="0" fontId="7" fillId="0" borderId="0" xfId="4" applyFont="1" applyFill="1" applyBorder="1" applyAlignment="1"/>
    <xf numFmtId="164" fontId="0" fillId="0" borderId="2" xfId="1" applyNumberFormat="1" applyFont="1" applyFill="1" applyBorder="1"/>
    <xf numFmtId="9" fontId="0" fillId="0" borderId="24" xfId="2" applyFont="1" applyFill="1" applyBorder="1"/>
    <xf numFmtId="164" fontId="0" fillId="0" borderId="14" xfId="1" applyNumberFormat="1" applyFont="1" applyFill="1" applyBorder="1"/>
    <xf numFmtId="49" fontId="4" fillId="0" borderId="0" xfId="0" applyNumberFormat="1" applyFont="1" applyAlignment="1">
      <alignment horizontal="center" vertical="center" wrapText="1"/>
    </xf>
    <xf numFmtId="44" fontId="1" fillId="0" borderId="0" xfId="1" applyFont="1" applyFill="1"/>
    <xf numFmtId="9" fontId="0" fillId="8" borderId="24" xfId="2" applyFont="1" applyFill="1" applyBorder="1"/>
    <xf numFmtId="1" fontId="1" fillId="8" borderId="36" xfId="0" applyNumberFormat="1" applyFont="1" applyFill="1" applyBorder="1"/>
    <xf numFmtId="1" fontId="1" fillId="8" borderId="2" xfId="0" applyNumberFormat="1" applyFont="1" applyFill="1" applyBorder="1"/>
    <xf numFmtId="1" fontId="1" fillId="8" borderId="5" xfId="0" applyNumberFormat="1" applyFont="1" applyFill="1" applyBorder="1"/>
    <xf numFmtId="164" fontId="0" fillId="8" borderId="14" xfId="1" applyNumberFormat="1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44" fontId="4" fillId="8" borderId="20" xfId="1" applyFont="1" applyFill="1" applyBorder="1"/>
    <xf numFmtId="44" fontId="4" fillId="8" borderId="21" xfId="1" applyFont="1" applyFill="1" applyBorder="1"/>
    <xf numFmtId="164" fontId="4" fillId="8" borderId="25" xfId="0" applyNumberFormat="1" applyFont="1" applyFill="1" applyBorder="1"/>
    <xf numFmtId="8" fontId="4" fillId="8" borderId="10" xfId="0" applyNumberFormat="1" applyFont="1" applyFill="1" applyBorder="1"/>
    <xf numFmtId="44" fontId="4" fillId="8" borderId="11" xfId="0" applyNumberFormat="1" applyFont="1" applyFill="1" applyBorder="1"/>
    <xf numFmtId="44" fontId="4" fillId="8" borderId="11" xfId="1" applyFont="1" applyFill="1" applyBorder="1"/>
    <xf numFmtId="164" fontId="4" fillId="8" borderId="11" xfId="0" applyNumberFormat="1" applyFont="1" applyFill="1" applyBorder="1"/>
    <xf numFmtId="9" fontId="4" fillId="8" borderId="12" xfId="0" applyNumberFormat="1" applyFont="1" applyFill="1" applyBorder="1"/>
    <xf numFmtId="0" fontId="4" fillId="8" borderId="5" xfId="0" applyFont="1" applyFill="1" applyBorder="1"/>
    <xf numFmtId="9" fontId="4" fillId="8" borderId="13" xfId="2" applyFont="1" applyFill="1" applyBorder="1"/>
    <xf numFmtId="9" fontId="4" fillId="0" borderId="13" xfId="2" applyFont="1" applyFill="1" applyBorder="1"/>
    <xf numFmtId="9" fontId="4" fillId="0" borderId="13" xfId="2" applyFont="1" applyBorder="1"/>
    <xf numFmtId="44" fontId="2" fillId="0" borderId="15" xfId="1" applyFont="1" applyFill="1" applyBorder="1" applyAlignment="1">
      <alignment vertical="center" wrapText="1"/>
    </xf>
    <xf numFmtId="9" fontId="4" fillId="8" borderId="35" xfId="2" applyFont="1" applyFill="1" applyBorder="1"/>
    <xf numFmtId="9" fontId="0" fillId="8" borderId="34" xfId="2" applyFont="1" applyFill="1" applyBorder="1"/>
    <xf numFmtId="9" fontId="0" fillId="0" borderId="34" xfId="2" applyFont="1" applyFill="1" applyBorder="1"/>
    <xf numFmtId="0" fontId="4" fillId="0" borderId="0" xfId="3" applyFont="1" applyFill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4" fillId="0" borderId="0" xfId="3" applyFont="1" applyFill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44" fontId="4" fillId="7" borderId="1" xfId="1" applyFont="1" applyFill="1" applyBorder="1"/>
    <xf numFmtId="44" fontId="4" fillId="0" borderId="1" xfId="1" applyFont="1" applyFill="1" applyBorder="1"/>
    <xf numFmtId="44" fontId="4" fillId="0" borderId="1" xfId="0" applyNumberFormat="1" applyFont="1" applyBorder="1"/>
    <xf numFmtId="44" fontId="0" fillId="0" borderId="0" xfId="1" applyFont="1" applyFill="1" applyBorder="1"/>
    <xf numFmtId="8" fontId="4" fillId="0" borderId="0" xfId="1" applyNumberFormat="1" applyFont="1" applyFill="1" applyBorder="1"/>
    <xf numFmtId="44" fontId="1" fillId="0" borderId="0" xfId="1" applyFont="1" applyFill="1" applyBorder="1"/>
    <xf numFmtId="8" fontId="0" fillId="0" borderId="0" xfId="0" applyNumberFormat="1"/>
    <xf numFmtId="44" fontId="1" fillId="0" borderId="0" xfId="4" applyNumberFormat="1" applyFont="1" applyFill="1" applyBorder="1" applyAlignment="1"/>
    <xf numFmtId="0" fontId="4" fillId="0" borderId="1" xfId="0" applyFont="1" applyBorder="1"/>
    <xf numFmtId="0" fontId="4" fillId="8" borderId="14" xfId="0" applyFont="1" applyFill="1" applyBorder="1"/>
    <xf numFmtId="0" fontId="4" fillId="8" borderId="7" xfId="0" applyFont="1" applyFill="1" applyBorder="1"/>
    <xf numFmtId="44" fontId="4" fillId="8" borderId="50" xfId="1" applyFont="1" applyFill="1" applyBorder="1"/>
    <xf numFmtId="44" fontId="4" fillId="8" borderId="16" xfId="1" applyFont="1" applyFill="1" applyBorder="1"/>
    <xf numFmtId="164" fontId="4" fillId="8" borderId="22" xfId="0" applyNumberFormat="1" applyFont="1" applyFill="1" applyBorder="1"/>
    <xf numFmtId="9" fontId="4" fillId="8" borderId="7" xfId="2" applyFont="1" applyFill="1" applyBorder="1"/>
    <xf numFmtId="8" fontId="4" fillId="8" borderId="51" xfId="0" applyNumberFormat="1" applyFont="1" applyFill="1" applyBorder="1"/>
    <xf numFmtId="44" fontId="4" fillId="8" borderId="14" xfId="0" applyNumberFormat="1" applyFont="1" applyFill="1" applyBorder="1"/>
    <xf numFmtId="44" fontId="4" fillId="8" borderId="14" xfId="1" applyFont="1" applyFill="1" applyBorder="1"/>
    <xf numFmtId="164" fontId="4" fillId="8" borderId="14" xfId="0" applyNumberFormat="1" applyFont="1" applyFill="1" applyBorder="1"/>
    <xf numFmtId="9" fontId="4" fillId="8" borderId="52" xfId="0" applyNumberFormat="1" applyFont="1" applyFill="1" applyBorder="1"/>
    <xf numFmtId="0" fontId="4" fillId="8" borderId="26" xfId="0" applyFont="1" applyFill="1" applyBorder="1"/>
    <xf numFmtId="44" fontId="4" fillId="0" borderId="6" xfId="1" applyFont="1" applyFill="1" applyBorder="1"/>
    <xf numFmtId="164" fontId="4" fillId="0" borderId="6" xfId="0" applyNumberFormat="1" applyFont="1" applyBorder="1"/>
    <xf numFmtId="9" fontId="4" fillId="0" borderId="6" xfId="2" applyFont="1" applyFill="1" applyBorder="1"/>
    <xf numFmtId="8" fontId="4" fillId="0" borderId="6" xfId="0" applyNumberFormat="1" applyFont="1" applyBorder="1"/>
    <xf numFmtId="44" fontId="4" fillId="0" borderId="6" xfId="0" applyNumberFormat="1" applyFont="1" applyBorder="1"/>
    <xf numFmtId="9" fontId="4" fillId="0" borderId="6" xfId="0" applyNumberFormat="1" applyFont="1" applyBorder="1"/>
    <xf numFmtId="164" fontId="4" fillId="0" borderId="1" xfId="0" applyNumberFormat="1" applyFont="1" applyBorder="1"/>
    <xf numFmtId="9" fontId="4" fillId="0" borderId="1" xfId="2" applyFont="1" applyFill="1" applyBorder="1"/>
    <xf numFmtId="8" fontId="4" fillId="0" borderId="1" xfId="0" applyNumberFormat="1" applyFont="1" applyBorder="1"/>
    <xf numFmtId="9" fontId="4" fillId="0" borderId="1" xfId="0" applyNumberFormat="1" applyFont="1" applyBorder="1"/>
    <xf numFmtId="0" fontId="4" fillId="0" borderId="6" xfId="0" applyFont="1" applyBorder="1"/>
    <xf numFmtId="44" fontId="1" fillId="0" borderId="6" xfId="1" applyFont="1" applyFill="1" applyBorder="1"/>
    <xf numFmtId="9" fontId="0" fillId="8" borderId="53" xfId="2" applyFont="1" applyFill="1" applyBorder="1"/>
    <xf numFmtId="44" fontId="4" fillId="8" borderId="13" xfId="0" applyNumberFormat="1" applyFont="1" applyFill="1" applyBorder="1"/>
    <xf numFmtId="0" fontId="0" fillId="0" borderId="0" xfId="0" applyAlignment="1">
      <alignment horizontal="center" vertical="top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7" fillId="11" borderId="0" xfId="4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7" fillId="11" borderId="42" xfId="4" applyFont="1" applyFill="1" applyBorder="1" applyAlignment="1">
      <alignment horizontal="left"/>
    </xf>
    <xf numFmtId="0" fontId="7" fillId="11" borderId="1" xfId="4" applyFont="1" applyFill="1" applyBorder="1" applyAlignment="1">
      <alignment horizontal="left"/>
    </xf>
    <xf numFmtId="0" fontId="5" fillId="4" borderId="1" xfId="4" applyBorder="1" applyAlignment="1">
      <alignment horizontal="center"/>
    </xf>
    <xf numFmtId="0" fontId="5" fillId="4" borderId="0" xfId="4" applyBorder="1" applyAlignment="1">
      <alignment horizontal="center"/>
    </xf>
    <xf numFmtId="0" fontId="5" fillId="11" borderId="1" xfId="4" applyFill="1" applyBorder="1" applyAlignment="1">
      <alignment horizontal="center"/>
    </xf>
    <xf numFmtId="0" fontId="5" fillId="11" borderId="0" xfId="4" applyFill="1" applyBorder="1" applyAlignment="1">
      <alignment horizontal="center"/>
    </xf>
  </cellXfs>
  <cellStyles count="5">
    <cellStyle name="20% - Accent1" xfId="3" builtinId="30"/>
    <cellStyle name="Accent6" xfId="4" builtinId="49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Single Family Housing Units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'Outcome Projections'!$D$1</c:f>
              <c:strCache>
                <c:ptCount val="1"/>
                <c:pt idx="0">
                  <c:v>Projection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Projections'!$A$2:$A$25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'Outcome Projections'!$D$2:$D$25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10</c:v>
                </c:pt>
                <c:pt idx="17">
                  <c:v>84</c:v>
                </c:pt>
                <c:pt idx="18">
                  <c:v>84</c:v>
                </c:pt>
                <c:pt idx="19">
                  <c:v>84</c:v>
                </c:pt>
                <c:pt idx="20">
                  <c:v>84</c:v>
                </c:pt>
                <c:pt idx="21">
                  <c:v>84</c:v>
                </c:pt>
                <c:pt idx="22">
                  <c:v>124</c:v>
                </c:pt>
                <c:pt idx="23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D-4816-A74C-E01B8A05B32B}"/>
            </c:ext>
          </c:extLst>
        </c:ser>
        <c:ser>
          <c:idx val="1"/>
          <c:order val="1"/>
          <c:tx>
            <c:strRef>
              <c:f>'Outcome Projections'!$E$1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Projections'!$A$2:$A$25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'Outcome Projections'!$E$2:$E$25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18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D-4816-A74C-E01B8A0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352864"/>
        <c:axId val="839355776"/>
      </c:lineChart>
      <c:dateAx>
        <c:axId val="8393528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355776"/>
        <c:crosses val="autoZero"/>
        <c:auto val="1"/>
        <c:lblOffset val="100"/>
        <c:baseTimeUnit val="months"/>
      </c:dateAx>
      <c:valAx>
        <c:axId val="83935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35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Housing</a:t>
            </a:r>
            <a:r>
              <a:rPr lang="en-US" baseline="0"/>
              <a:t> Infrastructure Project Delivery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Projections'!$H$60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Projections'!$A$61:$A$84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Projections'!$H$61:$H$84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6631.0160427807496</c:v>
                </c:pt>
                <c:pt idx="7">
                  <c:v>13262.032085561499</c:v>
                </c:pt>
                <c:pt idx="8">
                  <c:v>19893.048128342249</c:v>
                </c:pt>
                <c:pt idx="9">
                  <c:v>26524.064171122998</c:v>
                </c:pt>
                <c:pt idx="10">
                  <c:v>33155.080213903748</c:v>
                </c:pt>
                <c:pt idx="11">
                  <c:v>39786.096256684497</c:v>
                </c:pt>
                <c:pt idx="12">
                  <c:v>46417.112299465247</c:v>
                </c:pt>
                <c:pt idx="13">
                  <c:v>53048.128342245996</c:v>
                </c:pt>
                <c:pt idx="14">
                  <c:v>59679.144385026746</c:v>
                </c:pt>
                <c:pt idx="15">
                  <c:v>66310.160427807496</c:v>
                </c:pt>
                <c:pt idx="16">
                  <c:v>72941.176470588252</c:v>
                </c:pt>
                <c:pt idx="17">
                  <c:v>79117.647058823553</c:v>
                </c:pt>
                <c:pt idx="18">
                  <c:v>80294.117647058854</c:v>
                </c:pt>
                <c:pt idx="19">
                  <c:v>81470.588235294155</c:v>
                </c:pt>
                <c:pt idx="20">
                  <c:v>82647.058823529456</c:v>
                </c:pt>
                <c:pt idx="21">
                  <c:v>83823.529411764757</c:v>
                </c:pt>
                <c:pt idx="22">
                  <c:v>85000.000000000058</c:v>
                </c:pt>
                <c:pt idx="23">
                  <c:v>85000.000000000058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A-4397-8BC9-99A47A8A2FFA}"/>
            </c:ext>
          </c:extLst>
        </c:ser>
        <c:ser>
          <c:idx val="1"/>
          <c:order val="1"/>
          <c:tx>
            <c:strRef>
              <c:f>'Financial Projections'!$I$60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Projections'!$A$61:$A$84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Projections'!$I$61:$I$84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2315</c:v>
                </c:pt>
                <c:pt idx="8">
                  <c:v>29259</c:v>
                </c:pt>
                <c:pt idx="9">
                  <c:v>81988</c:v>
                </c:pt>
                <c:pt idx="10">
                  <c:v>84150</c:v>
                </c:pt>
                <c:pt idx="11">
                  <c:v>69416</c:v>
                </c:pt>
                <c:pt idx="12">
                  <c:v>69416</c:v>
                </c:pt>
                <c:pt idx="13">
                  <c:v>71578</c:v>
                </c:pt>
                <c:pt idx="14">
                  <c:v>71578</c:v>
                </c:pt>
                <c:pt idx="15">
                  <c:v>71578</c:v>
                </c:pt>
                <c:pt idx="16">
                  <c:v>71578</c:v>
                </c:pt>
                <c:pt idx="17">
                  <c:v>71578</c:v>
                </c:pt>
                <c:pt idx="18">
                  <c:v>71578</c:v>
                </c:pt>
                <c:pt idx="19">
                  <c:v>71578</c:v>
                </c:pt>
                <c:pt idx="20">
                  <c:v>71578</c:v>
                </c:pt>
                <c:pt idx="21">
                  <c:v>71578</c:v>
                </c:pt>
                <c:pt idx="22">
                  <c:v>71578</c:v>
                </c:pt>
                <c:pt idx="23">
                  <c:v>71578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A-4397-8BC9-99A47A8A2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20272"/>
        <c:axId val="65298224"/>
      </c:lineChart>
      <c:dateAx>
        <c:axId val="653202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8224"/>
        <c:crosses val="autoZero"/>
        <c:auto val="1"/>
        <c:lblOffset val="100"/>
        <c:baseTimeUnit val="months"/>
      </c:dateAx>
      <c:valAx>
        <c:axId val="6529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 Admin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Projections'!$D$181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Projections'!$A$182:$A$205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Projections'!$D$182:$D$205</c:f>
              <c:numCache>
                <c:formatCode>_("$"* #,##0.00_);_("$"* \(#,##0.00\);_("$"* "-"??_);_(@_)</c:formatCode>
                <c:ptCount val="24"/>
                <c:pt idx="0">
                  <c:v>115039.50624999999</c:v>
                </c:pt>
                <c:pt idx="1">
                  <c:v>250661.62273809523</c:v>
                </c:pt>
                <c:pt idx="2">
                  <c:v>386283.73922619049</c:v>
                </c:pt>
                <c:pt idx="3">
                  <c:v>521905.85571428575</c:v>
                </c:pt>
                <c:pt idx="4">
                  <c:v>657527.972202381</c:v>
                </c:pt>
                <c:pt idx="5">
                  <c:v>800926.58869047626</c:v>
                </c:pt>
                <c:pt idx="6">
                  <c:v>963811.97440934065</c:v>
                </c:pt>
                <c:pt idx="7">
                  <c:v>1126697.360128205</c:v>
                </c:pt>
                <c:pt idx="8">
                  <c:v>1289582.7458470694</c:v>
                </c:pt>
                <c:pt idx="9">
                  <c:v>1452468.1315659338</c:v>
                </c:pt>
                <c:pt idx="10">
                  <c:v>1615353.5172847982</c:v>
                </c:pt>
                <c:pt idx="11">
                  <c:v>1771319.9030036626</c:v>
                </c:pt>
                <c:pt idx="12">
                  <c:v>1937244.6220558605</c:v>
                </c:pt>
                <c:pt idx="13">
                  <c:v>2087800.6594413915</c:v>
                </c:pt>
                <c:pt idx="14">
                  <c:v>2238356.6968269227</c:v>
                </c:pt>
                <c:pt idx="15">
                  <c:v>2382841.3056410253</c:v>
                </c:pt>
                <c:pt idx="16">
                  <c:v>2527325.9144551279</c:v>
                </c:pt>
                <c:pt idx="17">
                  <c:v>2671810.5232692305</c:v>
                </c:pt>
                <c:pt idx="18">
                  <c:v>2816295.1320833331</c:v>
                </c:pt>
                <c:pt idx="19">
                  <c:v>2941292.9716666662</c:v>
                </c:pt>
                <c:pt idx="20">
                  <c:v>3066290.8112499993</c:v>
                </c:pt>
                <c:pt idx="21">
                  <c:v>3191288.6508333324</c:v>
                </c:pt>
                <c:pt idx="22">
                  <c:v>3316286.4904166656</c:v>
                </c:pt>
                <c:pt idx="23">
                  <c:v>3441284.3299999987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9-4616-A288-D542760BC078}"/>
            </c:ext>
          </c:extLst>
        </c:ser>
        <c:ser>
          <c:idx val="1"/>
          <c:order val="1"/>
          <c:tx>
            <c:strRef>
              <c:f>'Financial Projections'!$E$181</c:f>
              <c:strCache>
                <c:ptCount val="1"/>
                <c:pt idx="0">
                  <c:v>Actual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Projections'!$A$182:$A$205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Projections'!$E$182:$E$205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222997.59</c:v>
                </c:pt>
                <c:pt idx="2">
                  <c:v>264447.58999999997</c:v>
                </c:pt>
                <c:pt idx="3">
                  <c:v>365076.58999999997</c:v>
                </c:pt>
                <c:pt idx="4">
                  <c:v>489436.58999999997</c:v>
                </c:pt>
                <c:pt idx="5">
                  <c:v>564600.59</c:v>
                </c:pt>
                <c:pt idx="6">
                  <c:v>663454.59</c:v>
                </c:pt>
                <c:pt idx="7">
                  <c:v>956505.59</c:v>
                </c:pt>
                <c:pt idx="8">
                  <c:v>1222115.5899999999</c:v>
                </c:pt>
                <c:pt idx="9">
                  <c:v>1494745.0599999998</c:v>
                </c:pt>
                <c:pt idx="10">
                  <c:v>1687445.0599999998</c:v>
                </c:pt>
                <c:pt idx="11">
                  <c:v>1902071.6799999997</c:v>
                </c:pt>
                <c:pt idx="12">
                  <c:v>2117249.2699999996</c:v>
                </c:pt>
                <c:pt idx="13">
                  <c:v>2238061.7699999996</c:v>
                </c:pt>
                <c:pt idx="14">
                  <c:v>2400263.2699999996</c:v>
                </c:pt>
                <c:pt idx="15">
                  <c:v>2471745.7699999996</c:v>
                </c:pt>
                <c:pt idx="16">
                  <c:v>2471745.7699999996</c:v>
                </c:pt>
                <c:pt idx="17">
                  <c:v>2471745.7699999996</c:v>
                </c:pt>
                <c:pt idx="18">
                  <c:v>2471745.7699999996</c:v>
                </c:pt>
                <c:pt idx="19">
                  <c:v>2471745.7699999996</c:v>
                </c:pt>
                <c:pt idx="20">
                  <c:v>2471745.7699999996</c:v>
                </c:pt>
                <c:pt idx="21">
                  <c:v>2471745.7699999996</c:v>
                </c:pt>
                <c:pt idx="22">
                  <c:v>2471745.7699999996</c:v>
                </c:pt>
                <c:pt idx="23">
                  <c:v>2471745.7699999996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9-4616-A288-D542760BC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416432"/>
        <c:axId val="788418928"/>
      </c:lineChart>
      <c:dateAx>
        <c:axId val="7884164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418928"/>
        <c:crosses val="autoZero"/>
        <c:auto val="1"/>
        <c:lblOffset val="100"/>
        <c:baseTimeUnit val="months"/>
      </c:dateAx>
      <c:valAx>
        <c:axId val="78841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41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FEMA Match Buyouts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Projections'!$D$90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Projections'!$A$91:$A$114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Projections'!$D$91:$D$114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618725.2111111111</c:v>
                </c:pt>
                <c:pt idx="3">
                  <c:v>1248540.4222222222</c:v>
                </c:pt>
                <c:pt idx="4">
                  <c:v>1955831.2855555555</c:v>
                </c:pt>
                <c:pt idx="5">
                  <c:v>2667445.5566666666</c:v>
                </c:pt>
                <c:pt idx="6">
                  <c:v>3379059.8277777778</c:v>
                </c:pt>
                <c:pt idx="7">
                  <c:v>3976725.8988888888</c:v>
                </c:pt>
                <c:pt idx="8">
                  <c:v>4502591.47</c:v>
                </c:pt>
                <c:pt idx="9">
                  <c:v>5028457.0411111107</c:v>
                </c:pt>
                <c:pt idx="10">
                  <c:v>5554322.6122222217</c:v>
                </c:pt>
                <c:pt idx="11">
                  <c:v>5764745.4055555547</c:v>
                </c:pt>
                <c:pt idx="12">
                  <c:v>5975168.1988888877</c:v>
                </c:pt>
                <c:pt idx="13">
                  <c:v>6108115.3399999989</c:v>
                </c:pt>
                <c:pt idx="14">
                  <c:v>6236739.0733333323</c:v>
                </c:pt>
                <c:pt idx="15">
                  <c:v>6365362.8066666657</c:v>
                </c:pt>
                <c:pt idx="16">
                  <c:v>6493986.5399999991</c:v>
                </c:pt>
                <c:pt idx="17">
                  <c:v>6493986.5399999991</c:v>
                </c:pt>
                <c:pt idx="18">
                  <c:v>6493986.5399999991</c:v>
                </c:pt>
                <c:pt idx="19">
                  <c:v>6493986.5399999991</c:v>
                </c:pt>
                <c:pt idx="20">
                  <c:v>6493986.5399999991</c:v>
                </c:pt>
                <c:pt idx="21">
                  <c:v>6493986.5399999991</c:v>
                </c:pt>
                <c:pt idx="22">
                  <c:v>6493986.5399999991</c:v>
                </c:pt>
                <c:pt idx="23">
                  <c:v>6493986.5399999991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DF-4587-A053-9126D64CFD71}"/>
            </c:ext>
          </c:extLst>
        </c:ser>
        <c:ser>
          <c:idx val="1"/>
          <c:order val="1"/>
          <c:tx>
            <c:strRef>
              <c:f>'Financial Projections'!$E$90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Projections'!$A$91:$A$114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Projections'!$E$91:$E$114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4193217</c:v>
                </c:pt>
                <c:pt idx="4">
                  <c:v>4238661</c:v>
                </c:pt>
                <c:pt idx="5">
                  <c:v>4858274</c:v>
                </c:pt>
                <c:pt idx="6">
                  <c:v>5702666</c:v>
                </c:pt>
                <c:pt idx="7">
                  <c:v>5890600</c:v>
                </c:pt>
                <c:pt idx="8">
                  <c:v>5974228</c:v>
                </c:pt>
                <c:pt idx="9">
                  <c:v>5974228</c:v>
                </c:pt>
                <c:pt idx="10">
                  <c:v>6030658</c:v>
                </c:pt>
                <c:pt idx="11">
                  <c:v>6030658</c:v>
                </c:pt>
                <c:pt idx="12">
                  <c:v>6177580.8700000001</c:v>
                </c:pt>
                <c:pt idx="13">
                  <c:v>6185582.54</c:v>
                </c:pt>
                <c:pt idx="14">
                  <c:v>6185582.54</c:v>
                </c:pt>
                <c:pt idx="15">
                  <c:v>6185582.54</c:v>
                </c:pt>
                <c:pt idx="16">
                  <c:v>6185582.54</c:v>
                </c:pt>
                <c:pt idx="17">
                  <c:v>6185582.54</c:v>
                </c:pt>
                <c:pt idx="18">
                  <c:v>6185582.54</c:v>
                </c:pt>
                <c:pt idx="19">
                  <c:v>6185582.54</c:v>
                </c:pt>
                <c:pt idx="20">
                  <c:v>6185582.54</c:v>
                </c:pt>
                <c:pt idx="21">
                  <c:v>6185582.54</c:v>
                </c:pt>
                <c:pt idx="22">
                  <c:v>6185582.54</c:v>
                </c:pt>
                <c:pt idx="23">
                  <c:v>6185582.54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DF-4587-A053-9126D64CF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881103"/>
        <c:axId val="1479215279"/>
      </c:lineChart>
      <c:dateAx>
        <c:axId val="28488110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215279"/>
        <c:crosses val="autoZero"/>
        <c:auto val="1"/>
        <c:lblOffset val="100"/>
        <c:baseTimeUnit val="months"/>
      </c:dateAx>
      <c:valAx>
        <c:axId val="147921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88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FEMA Match Buyouts Project Delivery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Projections'!$H$90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Projections'!$A$91:$A$114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Projections'!$H$91:$H$114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20135</c:v>
                </c:pt>
                <c:pt idx="3">
                  <c:v>40645</c:v>
                </c:pt>
                <c:pt idx="4">
                  <c:v>62071.666666666672</c:v>
                </c:pt>
                <c:pt idx="5">
                  <c:v>83665</c:v>
                </c:pt>
                <c:pt idx="6">
                  <c:v>105258.33333333333</c:v>
                </c:pt>
                <c:pt idx="7">
                  <c:v>125051.66666666666</c:v>
                </c:pt>
                <c:pt idx="8">
                  <c:v>142970</c:v>
                </c:pt>
                <c:pt idx="9">
                  <c:v>160888.33333333334</c:v>
                </c:pt>
                <c:pt idx="10">
                  <c:v>178806.66666666669</c:v>
                </c:pt>
                <c:pt idx="11">
                  <c:v>188433.33333333334</c:v>
                </c:pt>
                <c:pt idx="12">
                  <c:v>198060</c:v>
                </c:pt>
                <c:pt idx="13">
                  <c:v>206770</c:v>
                </c:pt>
                <c:pt idx="14">
                  <c:v>215313.33333333334</c:v>
                </c:pt>
                <c:pt idx="15">
                  <c:v>223856.66666666669</c:v>
                </c:pt>
                <c:pt idx="16">
                  <c:v>232400.00000000003</c:v>
                </c:pt>
                <c:pt idx="17">
                  <c:v>232400.00000000003</c:v>
                </c:pt>
                <c:pt idx="18">
                  <c:v>232400.00000000003</c:v>
                </c:pt>
                <c:pt idx="19">
                  <c:v>232400.00000000003</c:v>
                </c:pt>
                <c:pt idx="20">
                  <c:v>232400.00000000003</c:v>
                </c:pt>
                <c:pt idx="21">
                  <c:v>232400.00000000003</c:v>
                </c:pt>
                <c:pt idx="22">
                  <c:v>232400.00000000003</c:v>
                </c:pt>
                <c:pt idx="23">
                  <c:v>232400.00000000003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FA-40AD-BFAB-8AE177991813}"/>
            </c:ext>
          </c:extLst>
        </c:ser>
        <c:ser>
          <c:idx val="1"/>
          <c:order val="1"/>
          <c:tx>
            <c:strRef>
              <c:f>'Financial Projections'!$I$90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Projections'!$A$91:$A$114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Projections'!$I$91:$I$114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85500</c:v>
                </c:pt>
                <c:pt idx="4">
                  <c:v>86250</c:v>
                </c:pt>
                <c:pt idx="5">
                  <c:v>87000</c:v>
                </c:pt>
                <c:pt idx="6">
                  <c:v>87000</c:v>
                </c:pt>
                <c:pt idx="7">
                  <c:v>97500</c:v>
                </c:pt>
                <c:pt idx="8">
                  <c:v>151013</c:v>
                </c:pt>
                <c:pt idx="9">
                  <c:v>154013</c:v>
                </c:pt>
                <c:pt idx="10">
                  <c:v>154013</c:v>
                </c:pt>
                <c:pt idx="11">
                  <c:v>154013</c:v>
                </c:pt>
                <c:pt idx="12">
                  <c:v>156263</c:v>
                </c:pt>
                <c:pt idx="13">
                  <c:v>156263</c:v>
                </c:pt>
                <c:pt idx="14">
                  <c:v>156263</c:v>
                </c:pt>
                <c:pt idx="15">
                  <c:v>156263</c:v>
                </c:pt>
                <c:pt idx="16">
                  <c:v>156263</c:v>
                </c:pt>
                <c:pt idx="17">
                  <c:v>156263</c:v>
                </c:pt>
                <c:pt idx="18">
                  <c:v>156263</c:v>
                </c:pt>
                <c:pt idx="19">
                  <c:v>156263</c:v>
                </c:pt>
                <c:pt idx="20">
                  <c:v>156263</c:v>
                </c:pt>
                <c:pt idx="21">
                  <c:v>156263</c:v>
                </c:pt>
                <c:pt idx="22">
                  <c:v>156263</c:v>
                </c:pt>
                <c:pt idx="23">
                  <c:v>156263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A-40AD-BFAB-8AE177991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199263"/>
        <c:axId val="2103905855"/>
      </c:lineChart>
      <c:dateAx>
        <c:axId val="28519926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05855"/>
        <c:crosses val="autoZero"/>
        <c:auto val="1"/>
        <c:lblOffset val="100"/>
        <c:baseTimeUnit val="months"/>
      </c:dateAx>
      <c:valAx>
        <c:axId val="210390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199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Projections'!$D$151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Projections'!$A$152:$A$176</c:f>
              <c:strCache>
                <c:ptCount val="25"/>
                <c:pt idx="0">
                  <c:v>10/1/2020</c:v>
                </c:pt>
                <c:pt idx="1">
                  <c:v>1/1/2021</c:v>
                </c:pt>
                <c:pt idx="2">
                  <c:v>4/1/2021</c:v>
                </c:pt>
                <c:pt idx="3">
                  <c:v>7/1/2021</c:v>
                </c:pt>
                <c:pt idx="4">
                  <c:v>10/1/2021</c:v>
                </c:pt>
                <c:pt idx="5">
                  <c:v>1/1/2022</c:v>
                </c:pt>
                <c:pt idx="6">
                  <c:v>4/1/2022</c:v>
                </c:pt>
                <c:pt idx="7">
                  <c:v>7/1/2022</c:v>
                </c:pt>
                <c:pt idx="8">
                  <c:v>10/1/2022</c:v>
                </c:pt>
                <c:pt idx="9">
                  <c:v>1/1/2023</c:v>
                </c:pt>
                <c:pt idx="10">
                  <c:v>4/1/2023</c:v>
                </c:pt>
                <c:pt idx="11">
                  <c:v>7/1/2023</c:v>
                </c:pt>
                <c:pt idx="12">
                  <c:v>10/1/2023</c:v>
                </c:pt>
                <c:pt idx="13">
                  <c:v>1/1/2024</c:v>
                </c:pt>
                <c:pt idx="14">
                  <c:v>4/1/2024</c:v>
                </c:pt>
                <c:pt idx="15">
                  <c:v>7/1/2024</c:v>
                </c:pt>
                <c:pt idx="16">
                  <c:v>10/1/2024</c:v>
                </c:pt>
                <c:pt idx="17">
                  <c:v>1/1/2025</c:v>
                </c:pt>
                <c:pt idx="18">
                  <c:v>4/1/2025</c:v>
                </c:pt>
                <c:pt idx="19">
                  <c:v>7/1/2025</c:v>
                </c:pt>
                <c:pt idx="20">
                  <c:v>10/1/2025</c:v>
                </c:pt>
                <c:pt idx="21">
                  <c:v>1/1/2026</c:v>
                </c:pt>
                <c:pt idx="22">
                  <c:v>4/1/2026</c:v>
                </c:pt>
                <c:pt idx="23">
                  <c:v>7/1/2026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Projections'!$D$152:$D$176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5467.4285714285716</c:v>
                </c:pt>
                <c:pt idx="2">
                  <c:v>10934.857142857143</c:v>
                </c:pt>
                <c:pt idx="3">
                  <c:v>16402.285714285714</c:v>
                </c:pt>
                <c:pt idx="4">
                  <c:v>21869.714285714286</c:v>
                </c:pt>
                <c:pt idx="5">
                  <c:v>27337.142857142859</c:v>
                </c:pt>
                <c:pt idx="6">
                  <c:v>82819.844155844155</c:v>
                </c:pt>
                <c:pt idx="7">
                  <c:v>169552.54545454547</c:v>
                </c:pt>
                <c:pt idx="8">
                  <c:v>250817.81818181821</c:v>
                </c:pt>
                <c:pt idx="9">
                  <c:v>332083.09090909094</c:v>
                </c:pt>
                <c:pt idx="10">
                  <c:v>413348.36363636365</c:v>
                </c:pt>
                <c:pt idx="11">
                  <c:v>494613.63636363635</c:v>
                </c:pt>
                <c:pt idx="12">
                  <c:v>575878.90909090906</c:v>
                </c:pt>
                <c:pt idx="13">
                  <c:v>657144.18181818177</c:v>
                </c:pt>
                <c:pt idx="14">
                  <c:v>738409.45454545447</c:v>
                </c:pt>
                <c:pt idx="15">
                  <c:v>819674.72727272718</c:v>
                </c:pt>
                <c:pt idx="16">
                  <c:v>900939.99999999988</c:v>
                </c:pt>
                <c:pt idx="17">
                  <c:v>932189.99999999988</c:v>
                </c:pt>
                <c:pt idx="18">
                  <c:v>963439.99999999988</c:v>
                </c:pt>
                <c:pt idx="19">
                  <c:v>994689.99999999988</c:v>
                </c:pt>
                <c:pt idx="20">
                  <c:v>1025939.9999999999</c:v>
                </c:pt>
                <c:pt idx="21">
                  <c:v>1057190</c:v>
                </c:pt>
                <c:pt idx="22">
                  <c:v>1088440</c:v>
                </c:pt>
                <c:pt idx="23">
                  <c:v>1088440</c:v>
                </c:pt>
                <c:pt idx="24">
                  <c:v>1088440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4-415F-B420-32D23C93B2F5}"/>
            </c:ext>
          </c:extLst>
        </c:ser>
        <c:ser>
          <c:idx val="1"/>
          <c:order val="1"/>
          <c:tx>
            <c:strRef>
              <c:f>'Financial Projections'!$E$151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Projections'!$A$152:$A$176</c:f>
              <c:strCache>
                <c:ptCount val="25"/>
                <c:pt idx="0">
                  <c:v>10/1/2020</c:v>
                </c:pt>
                <c:pt idx="1">
                  <c:v>1/1/2021</c:v>
                </c:pt>
                <c:pt idx="2">
                  <c:v>4/1/2021</c:v>
                </c:pt>
                <c:pt idx="3">
                  <c:v>7/1/2021</c:v>
                </c:pt>
                <c:pt idx="4">
                  <c:v>10/1/2021</c:v>
                </c:pt>
                <c:pt idx="5">
                  <c:v>1/1/2022</c:v>
                </c:pt>
                <c:pt idx="6">
                  <c:v>4/1/2022</c:v>
                </c:pt>
                <c:pt idx="7">
                  <c:v>7/1/2022</c:v>
                </c:pt>
                <c:pt idx="8">
                  <c:v>10/1/2022</c:v>
                </c:pt>
                <c:pt idx="9">
                  <c:v>1/1/2023</c:v>
                </c:pt>
                <c:pt idx="10">
                  <c:v>4/1/2023</c:v>
                </c:pt>
                <c:pt idx="11">
                  <c:v>7/1/2023</c:v>
                </c:pt>
                <c:pt idx="12">
                  <c:v>10/1/2023</c:v>
                </c:pt>
                <c:pt idx="13">
                  <c:v>1/1/2024</c:v>
                </c:pt>
                <c:pt idx="14">
                  <c:v>4/1/2024</c:v>
                </c:pt>
                <c:pt idx="15">
                  <c:v>7/1/2024</c:v>
                </c:pt>
                <c:pt idx="16">
                  <c:v>10/1/2024</c:v>
                </c:pt>
                <c:pt idx="17">
                  <c:v>1/1/2025</c:v>
                </c:pt>
                <c:pt idx="18">
                  <c:v>4/1/2025</c:v>
                </c:pt>
                <c:pt idx="19">
                  <c:v>7/1/2025</c:v>
                </c:pt>
                <c:pt idx="20">
                  <c:v>10/1/2025</c:v>
                </c:pt>
                <c:pt idx="21">
                  <c:v>1/1/2026</c:v>
                </c:pt>
                <c:pt idx="22">
                  <c:v>4/1/2026</c:v>
                </c:pt>
                <c:pt idx="23">
                  <c:v>7/1/2026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Projections'!$E$152:$E$176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26417</c:v>
                </c:pt>
                <c:pt idx="2">
                  <c:v>38272</c:v>
                </c:pt>
                <c:pt idx="3">
                  <c:v>38272</c:v>
                </c:pt>
                <c:pt idx="4">
                  <c:v>38272</c:v>
                </c:pt>
                <c:pt idx="5">
                  <c:v>38272</c:v>
                </c:pt>
                <c:pt idx="6">
                  <c:v>38272</c:v>
                </c:pt>
                <c:pt idx="7">
                  <c:v>56682</c:v>
                </c:pt>
                <c:pt idx="8">
                  <c:v>94111.540000000008</c:v>
                </c:pt>
                <c:pt idx="9">
                  <c:v>139179.07</c:v>
                </c:pt>
                <c:pt idx="10">
                  <c:v>204957.86000000002</c:v>
                </c:pt>
                <c:pt idx="11">
                  <c:v>340479.97</c:v>
                </c:pt>
                <c:pt idx="12">
                  <c:v>441472.88999999996</c:v>
                </c:pt>
                <c:pt idx="13">
                  <c:v>511005.06999999995</c:v>
                </c:pt>
                <c:pt idx="14">
                  <c:v>528585.55999999994</c:v>
                </c:pt>
                <c:pt idx="15">
                  <c:v>652431.77999999991</c:v>
                </c:pt>
                <c:pt idx="16">
                  <c:v>652431.77999999991</c:v>
                </c:pt>
                <c:pt idx="17">
                  <c:v>652431.77999999991</c:v>
                </c:pt>
                <c:pt idx="18">
                  <c:v>652431.77999999991</c:v>
                </c:pt>
                <c:pt idx="19">
                  <c:v>652431.77999999991</c:v>
                </c:pt>
                <c:pt idx="20">
                  <c:v>652431.77999999991</c:v>
                </c:pt>
                <c:pt idx="21">
                  <c:v>652431.77999999991</c:v>
                </c:pt>
                <c:pt idx="22">
                  <c:v>652431.77999999991</c:v>
                </c:pt>
                <c:pt idx="23">
                  <c:v>652431.77999999991</c:v>
                </c:pt>
                <c:pt idx="24">
                  <c:v>652431.77999999991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4-415F-B420-32D23C93B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571103"/>
        <c:axId val="1560570143"/>
      </c:lineChart>
      <c:catAx>
        <c:axId val="1560571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570143"/>
        <c:crosses val="autoZero"/>
        <c:auto val="1"/>
        <c:lblAlgn val="ctr"/>
        <c:lblOffset val="100"/>
        <c:noMultiLvlLbl val="1"/>
      </c:catAx>
      <c:valAx>
        <c:axId val="156057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057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Stormwater Infrastructure</a:t>
            </a:r>
            <a:endParaRPr lang="en-U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Projections'!$D$120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Projections'!$A$121:$A$145</c:f>
              <c:strCache>
                <c:ptCount val="25"/>
                <c:pt idx="0">
                  <c:v>10/1/2020</c:v>
                </c:pt>
                <c:pt idx="1">
                  <c:v>1/1/2021</c:v>
                </c:pt>
                <c:pt idx="2">
                  <c:v>4/1/2021</c:v>
                </c:pt>
                <c:pt idx="3">
                  <c:v>7/1/2021</c:v>
                </c:pt>
                <c:pt idx="4">
                  <c:v>10/1/2021</c:v>
                </c:pt>
                <c:pt idx="5">
                  <c:v>1/1/2022</c:v>
                </c:pt>
                <c:pt idx="6">
                  <c:v>4/1/2022</c:v>
                </c:pt>
                <c:pt idx="7">
                  <c:v>7/1/2022</c:v>
                </c:pt>
                <c:pt idx="8">
                  <c:v>10/1/2022</c:v>
                </c:pt>
                <c:pt idx="9">
                  <c:v>1/1/2023</c:v>
                </c:pt>
                <c:pt idx="10">
                  <c:v>4/1/2023</c:v>
                </c:pt>
                <c:pt idx="11">
                  <c:v>7/1/2023</c:v>
                </c:pt>
                <c:pt idx="12">
                  <c:v>10/1/2023</c:v>
                </c:pt>
                <c:pt idx="13">
                  <c:v>1/1/2024</c:v>
                </c:pt>
                <c:pt idx="14">
                  <c:v>4/1/2024</c:v>
                </c:pt>
                <c:pt idx="15">
                  <c:v>7/1/2024</c:v>
                </c:pt>
                <c:pt idx="16">
                  <c:v>10/1/2024</c:v>
                </c:pt>
                <c:pt idx="17">
                  <c:v>1/1/2025</c:v>
                </c:pt>
                <c:pt idx="18">
                  <c:v>4/1/2025</c:v>
                </c:pt>
                <c:pt idx="19">
                  <c:v>7/1/2025</c:v>
                </c:pt>
                <c:pt idx="20">
                  <c:v>10/1/2025</c:v>
                </c:pt>
                <c:pt idx="21">
                  <c:v>1/1/2026</c:v>
                </c:pt>
                <c:pt idx="22">
                  <c:v>4/1/2026</c:v>
                </c:pt>
                <c:pt idx="23">
                  <c:v>7/1/2026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Projections'!$D$121:$D$145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181170.375</c:v>
                </c:pt>
                <c:pt idx="3">
                  <c:v>362340.75</c:v>
                </c:pt>
                <c:pt idx="4">
                  <c:v>543511.125</c:v>
                </c:pt>
                <c:pt idx="5">
                  <c:v>891211.3</c:v>
                </c:pt>
                <c:pt idx="6">
                  <c:v>1124294.7250000001</c:v>
                </c:pt>
                <c:pt idx="7">
                  <c:v>1357378.1500000001</c:v>
                </c:pt>
                <c:pt idx="8">
                  <c:v>1590461.5750000002</c:v>
                </c:pt>
                <c:pt idx="9">
                  <c:v>1823545.0000000002</c:v>
                </c:pt>
                <c:pt idx="10">
                  <c:v>1990074.8000000003</c:v>
                </c:pt>
                <c:pt idx="11">
                  <c:v>2156604.6</c:v>
                </c:pt>
                <c:pt idx="12">
                  <c:v>2353689.9555555554</c:v>
                </c:pt>
                <c:pt idx="13">
                  <c:v>2550775.3111111112</c:v>
                </c:pt>
                <c:pt idx="14">
                  <c:v>2747860.666666667</c:v>
                </c:pt>
                <c:pt idx="15">
                  <c:v>2778416.2222222225</c:v>
                </c:pt>
                <c:pt idx="16">
                  <c:v>2808971.777777778</c:v>
                </c:pt>
                <c:pt idx="17">
                  <c:v>2839527.3333333335</c:v>
                </c:pt>
                <c:pt idx="18">
                  <c:v>2870082.888888889</c:v>
                </c:pt>
                <c:pt idx="19">
                  <c:v>2900638.4444444445</c:v>
                </c:pt>
                <c:pt idx="20">
                  <c:v>2931194</c:v>
                </c:pt>
                <c:pt idx="21">
                  <c:v>2931194</c:v>
                </c:pt>
                <c:pt idx="22">
                  <c:v>2931194</c:v>
                </c:pt>
                <c:pt idx="23">
                  <c:v>2931194</c:v>
                </c:pt>
                <c:pt idx="24">
                  <c:v>2931194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BF-450A-A532-7044B5A8EEFE}"/>
            </c:ext>
          </c:extLst>
        </c:ser>
        <c:ser>
          <c:idx val="1"/>
          <c:order val="1"/>
          <c:tx>
            <c:strRef>
              <c:f>'Financial Projections'!$E$120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Projections'!$A$121:$A$145</c:f>
              <c:strCache>
                <c:ptCount val="25"/>
                <c:pt idx="0">
                  <c:v>10/1/2020</c:v>
                </c:pt>
                <c:pt idx="1">
                  <c:v>1/1/2021</c:v>
                </c:pt>
                <c:pt idx="2">
                  <c:v>4/1/2021</c:v>
                </c:pt>
                <c:pt idx="3">
                  <c:v>7/1/2021</c:v>
                </c:pt>
                <c:pt idx="4">
                  <c:v>10/1/2021</c:v>
                </c:pt>
                <c:pt idx="5">
                  <c:v>1/1/2022</c:v>
                </c:pt>
                <c:pt idx="6">
                  <c:v>4/1/2022</c:v>
                </c:pt>
                <c:pt idx="7">
                  <c:v>7/1/2022</c:v>
                </c:pt>
                <c:pt idx="8">
                  <c:v>10/1/2022</c:v>
                </c:pt>
                <c:pt idx="9">
                  <c:v>1/1/2023</c:v>
                </c:pt>
                <c:pt idx="10">
                  <c:v>4/1/2023</c:v>
                </c:pt>
                <c:pt idx="11">
                  <c:v>7/1/2023</c:v>
                </c:pt>
                <c:pt idx="12">
                  <c:v>10/1/2023</c:v>
                </c:pt>
                <c:pt idx="13">
                  <c:v>1/1/2024</c:v>
                </c:pt>
                <c:pt idx="14">
                  <c:v>4/1/2024</c:v>
                </c:pt>
                <c:pt idx="15">
                  <c:v>7/1/2024</c:v>
                </c:pt>
                <c:pt idx="16">
                  <c:v>10/1/2024</c:v>
                </c:pt>
                <c:pt idx="17">
                  <c:v>1/1/2025</c:v>
                </c:pt>
                <c:pt idx="18">
                  <c:v>4/1/2025</c:v>
                </c:pt>
                <c:pt idx="19">
                  <c:v>7/1/2025</c:v>
                </c:pt>
                <c:pt idx="20">
                  <c:v>10/1/2025</c:v>
                </c:pt>
                <c:pt idx="21">
                  <c:v>1/1/2026</c:v>
                </c:pt>
                <c:pt idx="22">
                  <c:v>4/1/2026</c:v>
                </c:pt>
                <c:pt idx="23">
                  <c:v>7/1/2026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Projections'!$E$121:$E$145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44778</c:v>
                </c:pt>
                <c:pt idx="4">
                  <c:v>190705</c:v>
                </c:pt>
                <c:pt idx="5">
                  <c:v>748969</c:v>
                </c:pt>
                <c:pt idx="6">
                  <c:v>929629</c:v>
                </c:pt>
                <c:pt idx="7">
                  <c:v>1046956</c:v>
                </c:pt>
                <c:pt idx="8">
                  <c:v>1046956</c:v>
                </c:pt>
                <c:pt idx="9">
                  <c:v>1046956</c:v>
                </c:pt>
                <c:pt idx="10">
                  <c:v>1046956</c:v>
                </c:pt>
                <c:pt idx="11">
                  <c:v>1695220.1099999999</c:v>
                </c:pt>
                <c:pt idx="12">
                  <c:v>2459401.65</c:v>
                </c:pt>
                <c:pt idx="13">
                  <c:v>2489664.1999999997</c:v>
                </c:pt>
                <c:pt idx="14">
                  <c:v>2656193.9999999995</c:v>
                </c:pt>
                <c:pt idx="15">
                  <c:v>2756413.3699999996</c:v>
                </c:pt>
                <c:pt idx="16">
                  <c:v>2756413.3699999996</c:v>
                </c:pt>
                <c:pt idx="17">
                  <c:v>2756413.3699999996</c:v>
                </c:pt>
                <c:pt idx="18">
                  <c:v>2756413.3699999996</c:v>
                </c:pt>
                <c:pt idx="19">
                  <c:v>2756413.3699999996</c:v>
                </c:pt>
                <c:pt idx="20">
                  <c:v>2756413.3699999996</c:v>
                </c:pt>
                <c:pt idx="21">
                  <c:v>2756413.3699999996</c:v>
                </c:pt>
                <c:pt idx="22">
                  <c:v>2756413.3699999996</c:v>
                </c:pt>
                <c:pt idx="23">
                  <c:v>2756413.3699999996</c:v>
                </c:pt>
                <c:pt idx="24">
                  <c:v>2756413.3699999996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F-450A-A532-7044B5A8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167263"/>
        <c:axId val="1645166783"/>
      </c:lineChart>
      <c:catAx>
        <c:axId val="1645167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166783"/>
        <c:crosses val="autoZero"/>
        <c:auto val="1"/>
        <c:lblAlgn val="ctr"/>
        <c:lblOffset val="100"/>
        <c:noMultiLvlLbl val="0"/>
      </c:catAx>
      <c:valAx>
        <c:axId val="164516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167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Stormwater Infrastructure Project Delivery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Projections'!$H$120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Projections'!$A$121:$A$145</c:f>
              <c:strCache>
                <c:ptCount val="25"/>
                <c:pt idx="0">
                  <c:v>10/1/2020</c:v>
                </c:pt>
                <c:pt idx="1">
                  <c:v>1/1/2021</c:v>
                </c:pt>
                <c:pt idx="2">
                  <c:v>4/1/2021</c:v>
                </c:pt>
                <c:pt idx="3">
                  <c:v>7/1/2021</c:v>
                </c:pt>
                <c:pt idx="4">
                  <c:v>10/1/2021</c:v>
                </c:pt>
                <c:pt idx="5">
                  <c:v>1/1/2022</c:v>
                </c:pt>
                <c:pt idx="6">
                  <c:v>4/1/2022</c:v>
                </c:pt>
                <c:pt idx="7">
                  <c:v>7/1/2022</c:v>
                </c:pt>
                <c:pt idx="8">
                  <c:v>10/1/2022</c:v>
                </c:pt>
                <c:pt idx="9">
                  <c:v>1/1/2023</c:v>
                </c:pt>
                <c:pt idx="10">
                  <c:v>4/1/2023</c:v>
                </c:pt>
                <c:pt idx="11">
                  <c:v>7/1/2023</c:v>
                </c:pt>
                <c:pt idx="12">
                  <c:v>10/1/2023</c:v>
                </c:pt>
                <c:pt idx="13">
                  <c:v>1/1/2024</c:v>
                </c:pt>
                <c:pt idx="14">
                  <c:v>4/1/2024</c:v>
                </c:pt>
                <c:pt idx="15">
                  <c:v>7/1/2024</c:v>
                </c:pt>
                <c:pt idx="16">
                  <c:v>10/1/2024</c:v>
                </c:pt>
                <c:pt idx="17">
                  <c:v>1/1/2025</c:v>
                </c:pt>
                <c:pt idx="18">
                  <c:v>4/1/2025</c:v>
                </c:pt>
                <c:pt idx="19">
                  <c:v>7/1/2025</c:v>
                </c:pt>
                <c:pt idx="20">
                  <c:v>10/1/2025</c:v>
                </c:pt>
                <c:pt idx="21">
                  <c:v>1/1/2026</c:v>
                </c:pt>
                <c:pt idx="22">
                  <c:v>4/1/2026</c:v>
                </c:pt>
                <c:pt idx="23">
                  <c:v>7/1/2026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Projections'!$H$121:$H$145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5625</c:v>
                </c:pt>
                <c:pt idx="3">
                  <c:v>11250</c:v>
                </c:pt>
                <c:pt idx="4">
                  <c:v>16875</c:v>
                </c:pt>
                <c:pt idx="5">
                  <c:v>24000</c:v>
                </c:pt>
                <c:pt idx="6">
                  <c:v>27375</c:v>
                </c:pt>
                <c:pt idx="7">
                  <c:v>30750</c:v>
                </c:pt>
                <c:pt idx="8">
                  <c:v>34125</c:v>
                </c:pt>
                <c:pt idx="9">
                  <c:v>37500</c:v>
                </c:pt>
                <c:pt idx="10">
                  <c:v>39000</c:v>
                </c:pt>
                <c:pt idx="11">
                  <c:v>40500</c:v>
                </c:pt>
                <c:pt idx="12">
                  <c:v>44777.777777777781</c:v>
                </c:pt>
                <c:pt idx="13">
                  <c:v>49055.555555555562</c:v>
                </c:pt>
                <c:pt idx="14">
                  <c:v>53333.333333333343</c:v>
                </c:pt>
                <c:pt idx="15">
                  <c:v>56111.111111111124</c:v>
                </c:pt>
                <c:pt idx="16">
                  <c:v>58888.888888888905</c:v>
                </c:pt>
                <c:pt idx="17">
                  <c:v>61666.666666666686</c:v>
                </c:pt>
                <c:pt idx="18">
                  <c:v>64444.444444444467</c:v>
                </c:pt>
                <c:pt idx="19">
                  <c:v>67222.222222222248</c:v>
                </c:pt>
                <c:pt idx="20">
                  <c:v>70000.000000000029</c:v>
                </c:pt>
                <c:pt idx="21">
                  <c:v>70000.000000000029</c:v>
                </c:pt>
                <c:pt idx="22">
                  <c:v>70000.000000000029</c:v>
                </c:pt>
                <c:pt idx="23">
                  <c:v>70000.000000000029</c:v>
                </c:pt>
                <c:pt idx="24">
                  <c:v>70000.000000000029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11-49B2-B147-CA56F6A3D2CC}"/>
            </c:ext>
          </c:extLst>
        </c:ser>
        <c:ser>
          <c:idx val="1"/>
          <c:order val="1"/>
          <c:tx>
            <c:strRef>
              <c:f>'Financial Projections'!$I$120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Projections'!$A$121:$A$145</c:f>
              <c:strCache>
                <c:ptCount val="25"/>
                <c:pt idx="0">
                  <c:v>10/1/2020</c:v>
                </c:pt>
                <c:pt idx="1">
                  <c:v>1/1/2021</c:v>
                </c:pt>
                <c:pt idx="2">
                  <c:v>4/1/2021</c:v>
                </c:pt>
                <c:pt idx="3">
                  <c:v>7/1/2021</c:v>
                </c:pt>
                <c:pt idx="4">
                  <c:v>10/1/2021</c:v>
                </c:pt>
                <c:pt idx="5">
                  <c:v>1/1/2022</c:v>
                </c:pt>
                <c:pt idx="6">
                  <c:v>4/1/2022</c:v>
                </c:pt>
                <c:pt idx="7">
                  <c:v>7/1/2022</c:v>
                </c:pt>
                <c:pt idx="8">
                  <c:v>10/1/2022</c:v>
                </c:pt>
                <c:pt idx="9">
                  <c:v>1/1/2023</c:v>
                </c:pt>
                <c:pt idx="10">
                  <c:v>4/1/2023</c:v>
                </c:pt>
                <c:pt idx="11">
                  <c:v>7/1/2023</c:v>
                </c:pt>
                <c:pt idx="12">
                  <c:v>10/1/2023</c:v>
                </c:pt>
                <c:pt idx="13">
                  <c:v>1/1/2024</c:v>
                </c:pt>
                <c:pt idx="14">
                  <c:v>4/1/2024</c:v>
                </c:pt>
                <c:pt idx="15">
                  <c:v>7/1/2024</c:v>
                </c:pt>
                <c:pt idx="16">
                  <c:v>10/1/2024</c:v>
                </c:pt>
                <c:pt idx="17">
                  <c:v>1/1/2025</c:v>
                </c:pt>
                <c:pt idx="18">
                  <c:v>4/1/2025</c:v>
                </c:pt>
                <c:pt idx="19">
                  <c:v>7/1/2025</c:v>
                </c:pt>
                <c:pt idx="20">
                  <c:v>10/1/2025</c:v>
                </c:pt>
                <c:pt idx="21">
                  <c:v>1/1/2026</c:v>
                </c:pt>
                <c:pt idx="22">
                  <c:v>4/1/2026</c:v>
                </c:pt>
                <c:pt idx="23">
                  <c:v>7/1/2026</c:v>
                </c:pt>
                <c:pt idx="24">
                  <c:v>Totals:</c:v>
                </c:pt>
              </c:strCache>
            </c:strRef>
          </c:cat>
          <c:val>
            <c:numRef>
              <c:f>'Financial Projections'!$I$121:$I$145</c:f>
              <c:numCache>
                <c:formatCode>_("$"* #,##0.00_);_("$"* \(#,##0.00\);_("$"*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35000</c:v>
                </c:pt>
                <c:pt idx="9">
                  <c:v>35000</c:v>
                </c:pt>
                <c:pt idx="10">
                  <c:v>35000</c:v>
                </c:pt>
                <c:pt idx="11">
                  <c:v>36711.5</c:v>
                </c:pt>
                <c:pt idx="12">
                  <c:v>41735.81</c:v>
                </c:pt>
                <c:pt idx="13">
                  <c:v>41759.619999999995</c:v>
                </c:pt>
                <c:pt idx="14">
                  <c:v>44999.999999999993</c:v>
                </c:pt>
                <c:pt idx="15">
                  <c:v>46999.999999999993</c:v>
                </c:pt>
                <c:pt idx="16">
                  <c:v>46999.999999999993</c:v>
                </c:pt>
                <c:pt idx="17">
                  <c:v>46999.999999999993</c:v>
                </c:pt>
                <c:pt idx="18">
                  <c:v>46999.999999999993</c:v>
                </c:pt>
                <c:pt idx="19">
                  <c:v>46999.999999999993</c:v>
                </c:pt>
                <c:pt idx="20">
                  <c:v>46999.999999999993</c:v>
                </c:pt>
                <c:pt idx="21">
                  <c:v>46999.999999999993</c:v>
                </c:pt>
                <c:pt idx="22">
                  <c:v>46999.999999999993</c:v>
                </c:pt>
                <c:pt idx="23">
                  <c:v>46999.999999999993</c:v>
                </c:pt>
                <c:pt idx="24">
                  <c:v>46999.999999999993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11-49B2-B147-CA56F6A3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3004687"/>
        <c:axId val="1643004207"/>
      </c:lineChart>
      <c:catAx>
        <c:axId val="164300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3004207"/>
        <c:crosses val="autoZero"/>
        <c:auto val="1"/>
        <c:lblAlgn val="ctr"/>
        <c:lblOffset val="100"/>
        <c:noMultiLvlLbl val="0"/>
      </c:catAx>
      <c:valAx>
        <c:axId val="164300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3004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Downpayment Assistance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Projections'!$A$1:$A$25</c:f>
              <c:strCache>
                <c:ptCount val="25"/>
                <c:pt idx="0">
                  <c:v>510- Single Family Housing</c:v>
                </c:pt>
                <c:pt idx="1">
                  <c:v>10/1/2020</c:v>
                </c:pt>
                <c:pt idx="2">
                  <c:v>1/1/2021</c:v>
                </c:pt>
                <c:pt idx="3">
                  <c:v>4/1/2021</c:v>
                </c:pt>
                <c:pt idx="4">
                  <c:v>7/1/2021</c:v>
                </c:pt>
                <c:pt idx="5">
                  <c:v>10/1/2021</c:v>
                </c:pt>
                <c:pt idx="6">
                  <c:v>1/1/2022</c:v>
                </c:pt>
                <c:pt idx="7">
                  <c:v>4/1/2022</c:v>
                </c:pt>
                <c:pt idx="8">
                  <c:v>7/1/2022</c:v>
                </c:pt>
                <c:pt idx="9">
                  <c:v>10/1/2022</c:v>
                </c:pt>
                <c:pt idx="10">
                  <c:v>1/1/2023</c:v>
                </c:pt>
                <c:pt idx="11">
                  <c:v>4/1/2023</c:v>
                </c:pt>
                <c:pt idx="12">
                  <c:v>7/1/2023</c:v>
                </c:pt>
                <c:pt idx="13">
                  <c:v>10/1/2023</c:v>
                </c:pt>
                <c:pt idx="14">
                  <c:v>1/1/2024</c:v>
                </c:pt>
                <c:pt idx="15">
                  <c:v>4/1/2024</c:v>
                </c:pt>
                <c:pt idx="16">
                  <c:v>7/1/2024</c:v>
                </c:pt>
                <c:pt idx="17">
                  <c:v>10/1/2024</c:v>
                </c:pt>
                <c:pt idx="18">
                  <c:v>1/1/2025</c:v>
                </c:pt>
                <c:pt idx="19">
                  <c:v>4/1/2025</c:v>
                </c:pt>
                <c:pt idx="20">
                  <c:v>7/1/2025</c:v>
                </c:pt>
                <c:pt idx="21">
                  <c:v>10/1/2025</c:v>
                </c:pt>
                <c:pt idx="22">
                  <c:v>1/1/2026</c:v>
                </c:pt>
                <c:pt idx="23">
                  <c:v>4/1/2026</c:v>
                </c:pt>
                <c:pt idx="24">
                  <c:v>7/1/2026</c:v>
                </c:pt>
              </c:strCache>
            </c:strRef>
          </c:cat>
          <c:val>
            <c:numRef>
              <c:f>'Financial Projections'!$L$1:$L$25</c:f>
              <c:numCache>
                <c:formatCode>_("$"* #,##0.00_);_("$"* \(#,##0.00\);_("$"* "-"??_);_(@_)</c:formatCode>
                <c:ptCount val="25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17947.740000000002</c:v>
                </c:pt>
                <c:pt idx="15">
                  <c:v>37665.740000000005</c:v>
                </c:pt>
                <c:pt idx="16">
                  <c:v>117665.74</c:v>
                </c:pt>
                <c:pt idx="17">
                  <c:v>177665.74</c:v>
                </c:pt>
                <c:pt idx="18">
                  <c:v>2357665.7400000002</c:v>
                </c:pt>
                <c:pt idx="19">
                  <c:v>2357665.7400000002</c:v>
                </c:pt>
                <c:pt idx="20">
                  <c:v>2357665.7400000002</c:v>
                </c:pt>
                <c:pt idx="21">
                  <c:v>2357665.7400000002</c:v>
                </c:pt>
                <c:pt idx="22">
                  <c:v>2357665.7400000002</c:v>
                </c:pt>
                <c:pt idx="23">
                  <c:v>3157665.74</c:v>
                </c:pt>
                <c:pt idx="24">
                  <c:v>3157665.74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E-416B-B20A-BD66BF6F0CF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'Financial Projections'!$A$1:$A$25</c:f>
              <c:strCache>
                <c:ptCount val="25"/>
                <c:pt idx="0">
                  <c:v>510- Single Family Housing</c:v>
                </c:pt>
                <c:pt idx="1">
                  <c:v>10/1/2020</c:v>
                </c:pt>
                <c:pt idx="2">
                  <c:v>1/1/2021</c:v>
                </c:pt>
                <c:pt idx="3">
                  <c:v>4/1/2021</c:v>
                </c:pt>
                <c:pt idx="4">
                  <c:v>7/1/2021</c:v>
                </c:pt>
                <c:pt idx="5">
                  <c:v>10/1/2021</c:v>
                </c:pt>
                <c:pt idx="6">
                  <c:v>1/1/2022</c:v>
                </c:pt>
                <c:pt idx="7">
                  <c:v>4/1/2022</c:v>
                </c:pt>
                <c:pt idx="8">
                  <c:v>7/1/2022</c:v>
                </c:pt>
                <c:pt idx="9">
                  <c:v>10/1/2022</c:v>
                </c:pt>
                <c:pt idx="10">
                  <c:v>1/1/2023</c:v>
                </c:pt>
                <c:pt idx="11">
                  <c:v>4/1/2023</c:v>
                </c:pt>
                <c:pt idx="12">
                  <c:v>7/1/2023</c:v>
                </c:pt>
                <c:pt idx="13">
                  <c:v>10/1/2023</c:v>
                </c:pt>
                <c:pt idx="14">
                  <c:v>1/1/2024</c:v>
                </c:pt>
                <c:pt idx="15">
                  <c:v>4/1/2024</c:v>
                </c:pt>
                <c:pt idx="16">
                  <c:v>7/1/2024</c:v>
                </c:pt>
                <c:pt idx="17">
                  <c:v>10/1/2024</c:v>
                </c:pt>
                <c:pt idx="18">
                  <c:v>1/1/2025</c:v>
                </c:pt>
                <c:pt idx="19">
                  <c:v>4/1/2025</c:v>
                </c:pt>
                <c:pt idx="20">
                  <c:v>7/1/2025</c:v>
                </c:pt>
                <c:pt idx="21">
                  <c:v>10/1/2025</c:v>
                </c:pt>
                <c:pt idx="22">
                  <c:v>1/1/2026</c:v>
                </c:pt>
                <c:pt idx="23">
                  <c:v>4/1/2026</c:v>
                </c:pt>
                <c:pt idx="24">
                  <c:v>7/1/2026</c:v>
                </c:pt>
              </c:strCache>
            </c:strRef>
          </c:cat>
          <c:val>
            <c:numRef>
              <c:f>'Financial Projections'!$M$1:$M$25</c:f>
              <c:numCache>
                <c:formatCode>_("$"* #,##0.00_);_("$"* \(#,##0.00\);_("$"* "-"??_);_(@_)</c:formatCode>
                <c:ptCount val="25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65617.430000000008</c:v>
                </c:pt>
                <c:pt idx="15">
                  <c:v>65617.430000000008</c:v>
                </c:pt>
                <c:pt idx="16">
                  <c:v>188714.88</c:v>
                </c:pt>
                <c:pt idx="17">
                  <c:v>188714.88</c:v>
                </c:pt>
                <c:pt idx="18">
                  <c:v>188714.88</c:v>
                </c:pt>
                <c:pt idx="19">
                  <c:v>188714.88</c:v>
                </c:pt>
                <c:pt idx="20">
                  <c:v>188714.88</c:v>
                </c:pt>
                <c:pt idx="21">
                  <c:v>188714.88</c:v>
                </c:pt>
                <c:pt idx="22">
                  <c:v>188714.88</c:v>
                </c:pt>
                <c:pt idx="23">
                  <c:v>188714.88</c:v>
                </c:pt>
                <c:pt idx="24">
                  <c:v>188714.88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E-416B-B20A-BD66BF6F0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5346208"/>
        <c:axId val="1818299488"/>
      </c:lineChart>
      <c:catAx>
        <c:axId val="18153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299488"/>
        <c:crosses val="autoZero"/>
        <c:auto val="1"/>
        <c:lblAlgn val="ctr"/>
        <c:lblOffset val="100"/>
        <c:noMultiLvlLbl val="1"/>
      </c:catAx>
      <c:valAx>
        <c:axId val="181829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5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Rental</a:t>
            </a:r>
            <a:r>
              <a:rPr lang="en-US" baseline="0"/>
              <a:t> Housing Units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'Outcome Projections'!$M$1</c:f>
              <c:strCache>
                <c:ptCount val="1"/>
                <c:pt idx="0">
                  <c:v>Projection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Projections'!$J$2:$J$25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'Outcome Projections'!$M$2:$M$25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75</c:v>
                </c:pt>
                <c:pt idx="17">
                  <c:v>79</c:v>
                </c:pt>
                <c:pt idx="18">
                  <c:v>79</c:v>
                </c:pt>
                <c:pt idx="19">
                  <c:v>79</c:v>
                </c:pt>
                <c:pt idx="20">
                  <c:v>83</c:v>
                </c:pt>
                <c:pt idx="21">
                  <c:v>83</c:v>
                </c:pt>
                <c:pt idx="22">
                  <c:v>83</c:v>
                </c:pt>
                <c:pt idx="23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0-4922-97BE-FAD3C440F84C}"/>
            </c:ext>
          </c:extLst>
        </c:ser>
        <c:ser>
          <c:idx val="1"/>
          <c:order val="1"/>
          <c:tx>
            <c:strRef>
              <c:f>'Outcome Projections'!$N$1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Projections'!$J$2:$J$25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'Outcome Projections'!$N$2:$N$25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0-4922-97BE-FAD3C440F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395712"/>
        <c:axId val="839400288"/>
      </c:lineChart>
      <c:dateAx>
        <c:axId val="839395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400288"/>
        <c:crosses val="autoZero"/>
        <c:auto val="1"/>
        <c:lblOffset val="100"/>
        <c:baseTimeUnit val="months"/>
      </c:dateAx>
      <c:valAx>
        <c:axId val="8394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39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Buyouts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'Outcome Projections'!$D$27</c:f>
              <c:strCache>
                <c:ptCount val="1"/>
                <c:pt idx="0">
                  <c:v>Projection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Projections'!$A$28:$A$51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'Outcome Projections'!$D$28:$D$51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60</c:v>
                </c:pt>
                <c:pt idx="4">
                  <c:v>87</c:v>
                </c:pt>
                <c:pt idx="5">
                  <c:v>116</c:v>
                </c:pt>
                <c:pt idx="6">
                  <c:v>143</c:v>
                </c:pt>
                <c:pt idx="7">
                  <c:v>169</c:v>
                </c:pt>
                <c:pt idx="8">
                  <c:v>192</c:v>
                </c:pt>
                <c:pt idx="9">
                  <c:v>214</c:v>
                </c:pt>
                <c:pt idx="10">
                  <c:v>226</c:v>
                </c:pt>
                <c:pt idx="11">
                  <c:v>237</c:v>
                </c:pt>
                <c:pt idx="12">
                  <c:v>244</c:v>
                </c:pt>
                <c:pt idx="13">
                  <c:v>244</c:v>
                </c:pt>
                <c:pt idx="14">
                  <c:v>244</c:v>
                </c:pt>
                <c:pt idx="15">
                  <c:v>244</c:v>
                </c:pt>
                <c:pt idx="16">
                  <c:v>244</c:v>
                </c:pt>
                <c:pt idx="17">
                  <c:v>244</c:v>
                </c:pt>
                <c:pt idx="18">
                  <c:v>244</c:v>
                </c:pt>
                <c:pt idx="19">
                  <c:v>244</c:v>
                </c:pt>
                <c:pt idx="20">
                  <c:v>244</c:v>
                </c:pt>
                <c:pt idx="21">
                  <c:v>244</c:v>
                </c:pt>
                <c:pt idx="22">
                  <c:v>244</c:v>
                </c:pt>
                <c:pt idx="23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2B-4063-919E-05F48DD8A2BA}"/>
            </c:ext>
          </c:extLst>
        </c:ser>
        <c:ser>
          <c:idx val="1"/>
          <c:order val="1"/>
          <c:tx>
            <c:strRef>
              <c:f>'Outcome Projections'!$E$27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Projections'!$A$28:$A$51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'Outcome Projections'!$E$28:$E$51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111</c:v>
                </c:pt>
                <c:pt idx="4">
                  <c:v>157</c:v>
                </c:pt>
                <c:pt idx="5">
                  <c:v>181</c:v>
                </c:pt>
                <c:pt idx="6">
                  <c:v>184</c:v>
                </c:pt>
                <c:pt idx="7">
                  <c:v>190</c:v>
                </c:pt>
                <c:pt idx="8">
                  <c:v>191</c:v>
                </c:pt>
                <c:pt idx="9">
                  <c:v>192</c:v>
                </c:pt>
                <c:pt idx="10">
                  <c:v>195</c:v>
                </c:pt>
                <c:pt idx="11">
                  <c:v>195</c:v>
                </c:pt>
                <c:pt idx="12">
                  <c:v>195</c:v>
                </c:pt>
                <c:pt idx="13">
                  <c:v>195</c:v>
                </c:pt>
                <c:pt idx="14">
                  <c:v>195</c:v>
                </c:pt>
                <c:pt idx="15">
                  <c:v>195</c:v>
                </c:pt>
                <c:pt idx="16">
                  <c:v>195</c:v>
                </c:pt>
                <c:pt idx="17">
                  <c:v>195</c:v>
                </c:pt>
                <c:pt idx="18">
                  <c:v>195</c:v>
                </c:pt>
                <c:pt idx="19">
                  <c:v>195</c:v>
                </c:pt>
                <c:pt idx="20">
                  <c:v>195</c:v>
                </c:pt>
                <c:pt idx="21">
                  <c:v>195</c:v>
                </c:pt>
                <c:pt idx="22">
                  <c:v>195</c:v>
                </c:pt>
                <c:pt idx="23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B-4063-919E-05F48DD8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115071"/>
        <c:axId val="1434711647"/>
      </c:lineChart>
      <c:dateAx>
        <c:axId val="10711507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711647"/>
        <c:crosses val="autoZero"/>
        <c:auto val="1"/>
        <c:lblOffset val="100"/>
        <c:baseTimeUnit val="months"/>
      </c:dateAx>
      <c:valAx>
        <c:axId val="143471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11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Stormwater Infrastructure - Persons Benefited</a:t>
            </a:r>
            <a:endParaRPr lang="en-U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'Outcome Projections'!$M$27</c:f>
              <c:strCache>
                <c:ptCount val="1"/>
                <c:pt idx="0">
                  <c:v>Projection 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Projections'!$J$28:$J$51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'Outcome Projections'!$M$28:$M$51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2838</c:v>
                </c:pt>
                <c:pt idx="6">
                  <c:v>2838</c:v>
                </c:pt>
                <c:pt idx="7">
                  <c:v>2838</c:v>
                </c:pt>
                <c:pt idx="8">
                  <c:v>2838</c:v>
                </c:pt>
                <c:pt idx="9">
                  <c:v>4025</c:v>
                </c:pt>
                <c:pt idx="10">
                  <c:v>4025</c:v>
                </c:pt>
                <c:pt idx="11">
                  <c:v>4025</c:v>
                </c:pt>
                <c:pt idx="12">
                  <c:v>4025</c:v>
                </c:pt>
                <c:pt idx="13">
                  <c:v>4025</c:v>
                </c:pt>
                <c:pt idx="14">
                  <c:v>4308</c:v>
                </c:pt>
                <c:pt idx="15">
                  <c:v>4308</c:v>
                </c:pt>
                <c:pt idx="16">
                  <c:v>4308</c:v>
                </c:pt>
                <c:pt idx="17">
                  <c:v>4308</c:v>
                </c:pt>
                <c:pt idx="18">
                  <c:v>4308</c:v>
                </c:pt>
                <c:pt idx="19">
                  <c:v>4308</c:v>
                </c:pt>
                <c:pt idx="20">
                  <c:v>4404</c:v>
                </c:pt>
                <c:pt idx="21">
                  <c:v>4404</c:v>
                </c:pt>
                <c:pt idx="22">
                  <c:v>4404</c:v>
                </c:pt>
                <c:pt idx="23">
                  <c:v>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F-4B71-89BB-4C65258C1879}"/>
            </c:ext>
          </c:extLst>
        </c:ser>
        <c:ser>
          <c:idx val="1"/>
          <c:order val="1"/>
          <c:tx>
            <c:strRef>
              <c:f>'Outcome Projections'!$N$27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'Outcome Projections'!$J$28:$J$51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'Outcome Projections'!$N$28:$N$51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2838</c:v>
                </c:pt>
                <c:pt idx="6">
                  <c:v>2838</c:v>
                </c:pt>
                <c:pt idx="7">
                  <c:v>2838</c:v>
                </c:pt>
                <c:pt idx="8">
                  <c:v>2838</c:v>
                </c:pt>
                <c:pt idx="9">
                  <c:v>4025</c:v>
                </c:pt>
                <c:pt idx="10">
                  <c:v>4025</c:v>
                </c:pt>
                <c:pt idx="11">
                  <c:v>4025</c:v>
                </c:pt>
                <c:pt idx="12">
                  <c:v>4025</c:v>
                </c:pt>
                <c:pt idx="13">
                  <c:v>4025</c:v>
                </c:pt>
                <c:pt idx="14">
                  <c:v>4263</c:v>
                </c:pt>
                <c:pt idx="15">
                  <c:v>4263</c:v>
                </c:pt>
                <c:pt idx="16">
                  <c:v>4263</c:v>
                </c:pt>
                <c:pt idx="17">
                  <c:v>4263</c:v>
                </c:pt>
                <c:pt idx="18">
                  <c:v>4263</c:v>
                </c:pt>
                <c:pt idx="19">
                  <c:v>4263</c:v>
                </c:pt>
                <c:pt idx="20">
                  <c:v>4263</c:v>
                </c:pt>
                <c:pt idx="21">
                  <c:v>4263</c:v>
                </c:pt>
                <c:pt idx="22">
                  <c:v>4263</c:v>
                </c:pt>
                <c:pt idx="23">
                  <c:v>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F-4B71-89BB-4C65258C1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2012079"/>
        <c:axId val="1632017839"/>
      </c:lineChart>
      <c:dateAx>
        <c:axId val="163201207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017839"/>
        <c:crosses val="autoZero"/>
        <c:auto val="1"/>
        <c:lblOffset val="100"/>
        <c:baseTimeUnit val="months"/>
      </c:dateAx>
      <c:valAx>
        <c:axId val="163201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01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Single-Family</a:t>
            </a:r>
            <a:r>
              <a:rPr lang="en-US" baseline="0"/>
              <a:t> Housing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Projections'!$D$1</c:f>
              <c:strCache>
                <c:ptCount val="1"/>
                <c:pt idx="0">
                  <c:v>Projected Total Construction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Projections'!$A$2:$A$25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Projections'!$D$2:$D$25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8587.6883333333335</c:v>
                </c:pt>
                <c:pt idx="3">
                  <c:v>17175.376666666667</c:v>
                </c:pt>
                <c:pt idx="4">
                  <c:v>25763.065000000002</c:v>
                </c:pt>
                <c:pt idx="5">
                  <c:v>34350.753333333334</c:v>
                </c:pt>
                <c:pt idx="6">
                  <c:v>1519316.8889289959</c:v>
                </c:pt>
                <c:pt idx="7">
                  <c:v>3004283.0245246585</c:v>
                </c:pt>
                <c:pt idx="8">
                  <c:v>4489249.1601203214</c:v>
                </c:pt>
                <c:pt idx="9">
                  <c:v>5974215.295715984</c:v>
                </c:pt>
                <c:pt idx="10">
                  <c:v>7459181.4313116465</c:v>
                </c:pt>
                <c:pt idx="11">
                  <c:v>8944147.566907309</c:v>
                </c:pt>
                <c:pt idx="12">
                  <c:v>10429113.702502972</c:v>
                </c:pt>
                <c:pt idx="13">
                  <c:v>11914079.838098634</c:v>
                </c:pt>
                <c:pt idx="14">
                  <c:v>13375515.410360964</c:v>
                </c:pt>
                <c:pt idx="15">
                  <c:v>14823668.427067738</c:v>
                </c:pt>
                <c:pt idx="16">
                  <c:v>16229641.443774512</c:v>
                </c:pt>
                <c:pt idx="17">
                  <c:v>17608081.824117649</c:v>
                </c:pt>
                <c:pt idx="18">
                  <c:v>17964170.76529412</c:v>
                </c:pt>
                <c:pt idx="19">
                  <c:v>18320259.70647059</c:v>
                </c:pt>
                <c:pt idx="20">
                  <c:v>18676348.64764706</c:v>
                </c:pt>
                <c:pt idx="21">
                  <c:v>19032437.588823531</c:v>
                </c:pt>
                <c:pt idx="22">
                  <c:v>19388526.530000001</c:v>
                </c:pt>
                <c:pt idx="23">
                  <c:v>19388526.530000001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84-4434-9AC5-B63732269049}"/>
            </c:ext>
          </c:extLst>
        </c:ser>
        <c:ser>
          <c:idx val="1"/>
          <c:order val="1"/>
          <c:tx>
            <c:strRef>
              <c:f>'Financial Projections'!$E$1</c:f>
              <c:strCache>
                <c:ptCount val="1"/>
                <c:pt idx="0">
                  <c:v>Actual Total 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Projections'!$A$2:$A$25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Projections'!$E$2:$E$25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197181</c:v>
                </c:pt>
                <c:pt idx="8">
                  <c:v>984982</c:v>
                </c:pt>
                <c:pt idx="9">
                  <c:v>2547994</c:v>
                </c:pt>
                <c:pt idx="10">
                  <c:v>4011179.09</c:v>
                </c:pt>
                <c:pt idx="11">
                  <c:v>5348489.1500000004</c:v>
                </c:pt>
                <c:pt idx="12">
                  <c:v>5274834.6400000006</c:v>
                </c:pt>
                <c:pt idx="13">
                  <c:v>5658528.2500000009</c:v>
                </c:pt>
                <c:pt idx="14">
                  <c:v>6258654.2500000009</c:v>
                </c:pt>
                <c:pt idx="15">
                  <c:v>8420901.040000001</c:v>
                </c:pt>
                <c:pt idx="16">
                  <c:v>8420901.040000001</c:v>
                </c:pt>
                <c:pt idx="17">
                  <c:v>8420901.040000001</c:v>
                </c:pt>
                <c:pt idx="18">
                  <c:v>8420901.040000001</c:v>
                </c:pt>
                <c:pt idx="19">
                  <c:v>8420901.040000001</c:v>
                </c:pt>
                <c:pt idx="20">
                  <c:v>8420901.040000001</c:v>
                </c:pt>
                <c:pt idx="21">
                  <c:v>8420901.040000001</c:v>
                </c:pt>
                <c:pt idx="22">
                  <c:v>8420901.040000001</c:v>
                </c:pt>
                <c:pt idx="23">
                  <c:v>8420901.040000001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4-4434-9AC5-B6373226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819456"/>
        <c:axId val="615803648"/>
      </c:lineChart>
      <c:dateAx>
        <c:axId val="6158194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803648"/>
        <c:crosses val="autoZero"/>
        <c:auto val="1"/>
        <c:lblOffset val="100"/>
        <c:baseTimeUnit val="months"/>
      </c:dateAx>
      <c:valAx>
        <c:axId val="6158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81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Single-Family Housing Project Delivery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Projections'!$H$1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Projections'!$A$2:$A$25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Projections'!$H$2:$H$25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66528.34224598929</c:v>
                </c:pt>
                <c:pt idx="7">
                  <c:v>131056.68449197858</c:v>
                </c:pt>
                <c:pt idx="8">
                  <c:v>195585.02673796786</c:v>
                </c:pt>
                <c:pt idx="9">
                  <c:v>260113.36898395716</c:v>
                </c:pt>
                <c:pt idx="10">
                  <c:v>324641.71122994646</c:v>
                </c:pt>
                <c:pt idx="11">
                  <c:v>389170.05347593577</c:v>
                </c:pt>
                <c:pt idx="12">
                  <c:v>453698.39572192507</c:v>
                </c:pt>
                <c:pt idx="13">
                  <c:v>518226.73796791438</c:v>
                </c:pt>
                <c:pt idx="14">
                  <c:v>581505.08021390368</c:v>
                </c:pt>
                <c:pt idx="15">
                  <c:v>644116.7557932263</c:v>
                </c:pt>
                <c:pt idx="16">
                  <c:v>704328.43137254892</c:v>
                </c:pt>
                <c:pt idx="17">
                  <c:v>763176.47058823518</c:v>
                </c:pt>
                <c:pt idx="18">
                  <c:v>774941.17647058808</c:v>
                </c:pt>
                <c:pt idx="19">
                  <c:v>786705.88235294097</c:v>
                </c:pt>
                <c:pt idx="20">
                  <c:v>798470.58823529386</c:v>
                </c:pt>
                <c:pt idx="21">
                  <c:v>810235.29411764676</c:v>
                </c:pt>
                <c:pt idx="22">
                  <c:v>821999.99999999965</c:v>
                </c:pt>
                <c:pt idx="23">
                  <c:v>821999.99999999965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1D-478D-8DAF-991EFA955547}"/>
            </c:ext>
          </c:extLst>
        </c:ser>
        <c:ser>
          <c:idx val="1"/>
          <c:order val="1"/>
          <c:tx>
            <c:strRef>
              <c:f>'Financial Projections'!$I$1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Projections'!$A$2:$A$25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Projections'!$I$2:$I$25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1456</c:v>
                </c:pt>
                <c:pt idx="6">
                  <c:v>1456</c:v>
                </c:pt>
                <c:pt idx="7">
                  <c:v>18580</c:v>
                </c:pt>
                <c:pt idx="8">
                  <c:v>106636</c:v>
                </c:pt>
                <c:pt idx="9">
                  <c:v>171609</c:v>
                </c:pt>
                <c:pt idx="10">
                  <c:v>210632.47999999998</c:v>
                </c:pt>
                <c:pt idx="11">
                  <c:v>242733.47999999998</c:v>
                </c:pt>
                <c:pt idx="12">
                  <c:v>303631.17</c:v>
                </c:pt>
                <c:pt idx="13">
                  <c:v>369004.07999999996</c:v>
                </c:pt>
                <c:pt idx="14">
                  <c:v>374509.42</c:v>
                </c:pt>
                <c:pt idx="15">
                  <c:v>377736.42</c:v>
                </c:pt>
                <c:pt idx="16">
                  <c:v>377736.42</c:v>
                </c:pt>
                <c:pt idx="17">
                  <c:v>377736.42</c:v>
                </c:pt>
                <c:pt idx="18">
                  <c:v>377736.42</c:v>
                </c:pt>
                <c:pt idx="19">
                  <c:v>377736.42</c:v>
                </c:pt>
                <c:pt idx="20">
                  <c:v>377736.42</c:v>
                </c:pt>
                <c:pt idx="21">
                  <c:v>377736.42</c:v>
                </c:pt>
                <c:pt idx="22">
                  <c:v>377736.42</c:v>
                </c:pt>
                <c:pt idx="23">
                  <c:v>377736.42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D-478D-8DAF-991EFA955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31328"/>
        <c:axId val="54128000"/>
      </c:lineChart>
      <c:dateAx>
        <c:axId val="54131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28000"/>
        <c:crosses val="autoZero"/>
        <c:auto val="1"/>
        <c:lblOffset val="100"/>
        <c:baseTimeUnit val="months"/>
      </c:dateAx>
      <c:valAx>
        <c:axId val="5412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3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Rental Housing</a:t>
            </a:r>
          </a:p>
        </c:rich>
      </c:tx>
      <c:layout>
        <c:manualLayout>
          <c:xMode val="edge"/>
          <c:yMode val="edge"/>
          <c:x val="0.41504855643044625"/>
          <c:y val="2.7842227378190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Projections'!$D$30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Projections'!$A$31:$A$54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Projections'!$D$31:$D$54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773275.36630036635</c:v>
                </c:pt>
                <c:pt idx="4">
                  <c:v>1546550.7326007327</c:v>
                </c:pt>
                <c:pt idx="5">
                  <c:v>2319826.0989010991</c:v>
                </c:pt>
                <c:pt idx="6">
                  <c:v>3093101.4652014654</c:v>
                </c:pt>
                <c:pt idx="7">
                  <c:v>3883043.4981684983</c:v>
                </c:pt>
                <c:pt idx="8">
                  <c:v>4672985.5311355311</c:v>
                </c:pt>
                <c:pt idx="9">
                  <c:v>5462927.564102564</c:v>
                </c:pt>
                <c:pt idx="10">
                  <c:v>6252869.5970695969</c:v>
                </c:pt>
                <c:pt idx="11">
                  <c:v>7120455.3443223443</c:v>
                </c:pt>
                <c:pt idx="12">
                  <c:v>7988041.0915750917</c:v>
                </c:pt>
                <c:pt idx="13">
                  <c:v>8855626.8388278391</c:v>
                </c:pt>
                <c:pt idx="14">
                  <c:v>9723212.5860805865</c:v>
                </c:pt>
                <c:pt idx="15">
                  <c:v>10582777.5</c:v>
                </c:pt>
                <c:pt idx="16">
                  <c:v>11412887.285714285</c:v>
                </c:pt>
                <c:pt idx="17">
                  <c:v>11509281</c:v>
                </c:pt>
                <c:pt idx="18">
                  <c:v>11528031</c:v>
                </c:pt>
                <c:pt idx="19">
                  <c:v>11546781</c:v>
                </c:pt>
                <c:pt idx="20">
                  <c:v>11565531</c:v>
                </c:pt>
                <c:pt idx="21">
                  <c:v>11565531</c:v>
                </c:pt>
                <c:pt idx="22">
                  <c:v>11565531</c:v>
                </c:pt>
                <c:pt idx="23">
                  <c:v>11565531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F-4596-B943-60E4B0ABC944}"/>
            </c:ext>
          </c:extLst>
        </c:ser>
        <c:ser>
          <c:idx val="1"/>
          <c:order val="1"/>
          <c:tx>
            <c:strRef>
              <c:f>'Financial Projections'!$E$30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Projections'!$A$31:$A$54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Projections'!$E$31:$E$54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607499</c:v>
                </c:pt>
                <c:pt idx="7">
                  <c:v>1788520</c:v>
                </c:pt>
                <c:pt idx="8">
                  <c:v>1911562</c:v>
                </c:pt>
                <c:pt idx="9">
                  <c:v>3409631</c:v>
                </c:pt>
                <c:pt idx="10">
                  <c:v>5172201</c:v>
                </c:pt>
                <c:pt idx="11">
                  <c:v>5356808.87</c:v>
                </c:pt>
                <c:pt idx="12">
                  <c:v>7211828.7199999997</c:v>
                </c:pt>
                <c:pt idx="13">
                  <c:v>7992603.3300000001</c:v>
                </c:pt>
                <c:pt idx="14">
                  <c:v>8738406.0500000007</c:v>
                </c:pt>
                <c:pt idx="15">
                  <c:v>10174004.810000001</c:v>
                </c:pt>
                <c:pt idx="16">
                  <c:v>10174004.810000001</c:v>
                </c:pt>
                <c:pt idx="17">
                  <c:v>10174004.810000001</c:v>
                </c:pt>
                <c:pt idx="18">
                  <c:v>10174004.810000001</c:v>
                </c:pt>
                <c:pt idx="19">
                  <c:v>10174004.810000001</c:v>
                </c:pt>
                <c:pt idx="20">
                  <c:v>10174004.810000001</c:v>
                </c:pt>
                <c:pt idx="21">
                  <c:v>10174004.810000001</c:v>
                </c:pt>
                <c:pt idx="22">
                  <c:v>10174004.810000001</c:v>
                </c:pt>
                <c:pt idx="23">
                  <c:v>10174004.810000001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F-4596-B943-60E4B0AB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7219824"/>
        <c:axId val="817239792"/>
      </c:lineChart>
      <c:dateAx>
        <c:axId val="8172198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239792"/>
        <c:crosses val="autoZero"/>
        <c:auto val="1"/>
        <c:lblOffset val="100"/>
        <c:baseTimeUnit val="months"/>
      </c:dateAx>
      <c:valAx>
        <c:axId val="81723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21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Rental Housing Project Delivery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Projections'!$H$30</c:f>
              <c:strCache>
                <c:ptCount val="1"/>
                <c:pt idx="0">
                  <c:v>Projected Total PD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Projections'!$A$31:$A$54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Projections'!$H$31:$H$54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27819.902319902321</c:v>
                </c:pt>
                <c:pt idx="4">
                  <c:v>55639.804639804643</c:v>
                </c:pt>
                <c:pt idx="5">
                  <c:v>83459.706959706964</c:v>
                </c:pt>
                <c:pt idx="6">
                  <c:v>111279.60927960929</c:v>
                </c:pt>
                <c:pt idx="7">
                  <c:v>140432.84493284495</c:v>
                </c:pt>
                <c:pt idx="8">
                  <c:v>169586.08058608061</c:v>
                </c:pt>
                <c:pt idx="9">
                  <c:v>198739.31623931628</c:v>
                </c:pt>
                <c:pt idx="10">
                  <c:v>227892.55189255194</c:v>
                </c:pt>
                <c:pt idx="11">
                  <c:v>259902.93040293045</c:v>
                </c:pt>
                <c:pt idx="12">
                  <c:v>291913.30891330895</c:v>
                </c:pt>
                <c:pt idx="13">
                  <c:v>323923.68742368749</c:v>
                </c:pt>
                <c:pt idx="14">
                  <c:v>355166.92307692312</c:v>
                </c:pt>
                <c:pt idx="15">
                  <c:v>386677.30158730166</c:v>
                </c:pt>
                <c:pt idx="16">
                  <c:v>415931.26984126994</c:v>
                </c:pt>
                <c:pt idx="17">
                  <c:v>419899.5238095239</c:v>
                </c:pt>
                <c:pt idx="18">
                  <c:v>421010.63492063503</c:v>
                </c:pt>
                <c:pt idx="19">
                  <c:v>422121.74603174615</c:v>
                </c:pt>
                <c:pt idx="20">
                  <c:v>423232.85714285728</c:v>
                </c:pt>
                <c:pt idx="21">
                  <c:v>423232.85714285728</c:v>
                </c:pt>
                <c:pt idx="22">
                  <c:v>423232.85714285728</c:v>
                </c:pt>
                <c:pt idx="23">
                  <c:v>423232.85714285728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0-45CB-8416-0B729707B74A}"/>
            </c:ext>
          </c:extLst>
        </c:ser>
        <c:ser>
          <c:idx val="1"/>
          <c:order val="1"/>
          <c:tx>
            <c:strRef>
              <c:f>'Financial Projections'!$I$30</c:f>
              <c:strCache>
                <c:ptCount val="1"/>
                <c:pt idx="0">
                  <c:v>Actual Total PD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Projections'!$A$31:$A$54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Projections'!$I$31:$I$54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20106</c:v>
                </c:pt>
                <c:pt idx="6">
                  <c:v>21518</c:v>
                </c:pt>
                <c:pt idx="7">
                  <c:v>58004</c:v>
                </c:pt>
                <c:pt idx="8">
                  <c:v>71275</c:v>
                </c:pt>
                <c:pt idx="9">
                  <c:v>92643</c:v>
                </c:pt>
                <c:pt idx="10">
                  <c:v>143099</c:v>
                </c:pt>
                <c:pt idx="11">
                  <c:v>148090</c:v>
                </c:pt>
                <c:pt idx="12">
                  <c:v>184706.16999999998</c:v>
                </c:pt>
                <c:pt idx="13">
                  <c:v>189424.16999999998</c:v>
                </c:pt>
                <c:pt idx="14">
                  <c:v>189424.16999999998</c:v>
                </c:pt>
                <c:pt idx="15">
                  <c:v>203761.16999999998</c:v>
                </c:pt>
                <c:pt idx="16">
                  <c:v>203761.16999999998</c:v>
                </c:pt>
                <c:pt idx="17">
                  <c:v>203761.16999999998</c:v>
                </c:pt>
                <c:pt idx="18">
                  <c:v>203761.16999999998</c:v>
                </c:pt>
                <c:pt idx="19">
                  <c:v>203761.16999999998</c:v>
                </c:pt>
                <c:pt idx="20">
                  <c:v>203761.16999999998</c:v>
                </c:pt>
                <c:pt idx="21">
                  <c:v>203761.16999999998</c:v>
                </c:pt>
                <c:pt idx="22">
                  <c:v>203761.16999999998</c:v>
                </c:pt>
                <c:pt idx="23">
                  <c:v>203761.16999999998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0-45CB-8416-0B729707B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206272"/>
        <c:axId val="809199616"/>
      </c:lineChart>
      <c:dateAx>
        <c:axId val="8092062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199616"/>
        <c:crosses val="autoZero"/>
        <c:auto val="1"/>
        <c:lblOffset val="100"/>
        <c:baseTimeUnit val="months"/>
      </c:dateAx>
      <c:valAx>
        <c:axId val="80919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2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Housing Infrastructure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'Financial Projections'!$D$60</c:f>
              <c:strCache>
                <c:ptCount val="1"/>
                <c:pt idx="0">
                  <c:v>Projected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Projections'!$A$61:$A$84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Projections'!$D$61:$D$84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3039583.6503832438</c:v>
                </c:pt>
                <c:pt idx="7">
                  <c:v>6079167.3007664876</c:v>
                </c:pt>
                <c:pt idx="8">
                  <c:v>9118750.9511497319</c:v>
                </c:pt>
                <c:pt idx="9">
                  <c:v>12158334.601532975</c:v>
                </c:pt>
                <c:pt idx="10">
                  <c:v>15197918.251916219</c:v>
                </c:pt>
                <c:pt idx="11">
                  <c:v>18237501.902299464</c:v>
                </c:pt>
                <c:pt idx="12">
                  <c:v>21277085.552682709</c:v>
                </c:pt>
                <c:pt idx="13">
                  <c:v>24316669.203065954</c:v>
                </c:pt>
                <c:pt idx="14">
                  <c:v>27356252.853449199</c:v>
                </c:pt>
                <c:pt idx="15">
                  <c:v>30395836.503832445</c:v>
                </c:pt>
                <c:pt idx="16">
                  <c:v>33435420.15421569</c:v>
                </c:pt>
                <c:pt idx="17">
                  <c:v>36447467.8182353</c:v>
                </c:pt>
                <c:pt idx="18">
                  <c:v>36854408.200588241</c:v>
                </c:pt>
                <c:pt idx="19">
                  <c:v>37261348.582941182</c:v>
                </c:pt>
                <c:pt idx="20">
                  <c:v>37668288.965294123</c:v>
                </c:pt>
                <c:pt idx="21">
                  <c:v>38075229.347647063</c:v>
                </c:pt>
                <c:pt idx="22">
                  <c:v>38482169.730000004</c:v>
                </c:pt>
                <c:pt idx="23">
                  <c:v>38482169.730000004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9-4772-8C01-9B1137807C2A}"/>
            </c:ext>
          </c:extLst>
        </c:ser>
        <c:ser>
          <c:idx val="1"/>
          <c:order val="1"/>
          <c:tx>
            <c:strRef>
              <c:f>'Financial Projections'!$E$60</c:f>
              <c:strCache>
                <c:ptCount val="1"/>
                <c:pt idx="0">
                  <c:v>Actual Total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Projections'!$A$61:$A$84</c:f>
              <c:numCache>
                <c:formatCode>m/d/yyyy</c:formatCode>
                <c:ptCount val="24"/>
                <c:pt idx="0">
                  <c:v>44105</c:v>
                </c:pt>
                <c:pt idx="1">
                  <c:v>44197</c:v>
                </c:pt>
                <c:pt idx="2">
                  <c:v>44287</c:v>
                </c:pt>
                <c:pt idx="3">
                  <c:v>44378</c:v>
                </c:pt>
                <c:pt idx="4">
                  <c:v>44470</c:v>
                </c:pt>
                <c:pt idx="5">
                  <c:v>44562</c:v>
                </c:pt>
                <c:pt idx="6">
                  <c:v>44652</c:v>
                </c:pt>
                <c:pt idx="7">
                  <c:v>44743</c:v>
                </c:pt>
                <c:pt idx="8">
                  <c:v>44835</c:v>
                </c:pt>
                <c:pt idx="9">
                  <c:v>44927</c:v>
                </c:pt>
                <c:pt idx="10">
                  <c:v>45017</c:v>
                </c:pt>
                <c:pt idx="11">
                  <c:v>45108</c:v>
                </c:pt>
                <c:pt idx="12">
                  <c:v>45200</c:v>
                </c:pt>
                <c:pt idx="13">
                  <c:v>45292</c:v>
                </c:pt>
                <c:pt idx="14">
                  <c:v>45383</c:v>
                </c:pt>
                <c:pt idx="15">
                  <c:v>45474</c:v>
                </c:pt>
                <c:pt idx="16">
                  <c:v>45566</c:v>
                </c:pt>
                <c:pt idx="17">
                  <c:v>45658</c:v>
                </c:pt>
                <c:pt idx="18">
                  <c:v>45748</c:v>
                </c:pt>
                <c:pt idx="19">
                  <c:v>45839</c:v>
                </c:pt>
                <c:pt idx="20">
                  <c:v>45931</c:v>
                </c:pt>
                <c:pt idx="21">
                  <c:v>46023</c:v>
                </c:pt>
                <c:pt idx="22">
                  <c:v>46113</c:v>
                </c:pt>
                <c:pt idx="23">
                  <c:v>46204</c:v>
                </c:pt>
              </c:numCache>
            </c:numRef>
          </c:cat>
          <c:val>
            <c:numRef>
              <c:f>'Financial Projections'!$E$61:$E$84</c:f>
              <c:numCache>
                <c:formatCode>_("$"* #,##0.00_);_("$"* \(#,##0.00\);_("$"* "-"??_);_(@_)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133679</c:v>
                </c:pt>
                <c:pt idx="8">
                  <c:v>3922122</c:v>
                </c:pt>
                <c:pt idx="9">
                  <c:v>9871302.1900000013</c:v>
                </c:pt>
                <c:pt idx="10">
                  <c:v>12702467.330000002</c:v>
                </c:pt>
                <c:pt idx="11">
                  <c:v>15614433.430000002</c:v>
                </c:pt>
                <c:pt idx="12">
                  <c:v>20856343.190000001</c:v>
                </c:pt>
                <c:pt idx="13">
                  <c:v>22803290.16</c:v>
                </c:pt>
                <c:pt idx="14">
                  <c:v>23019608.539999999</c:v>
                </c:pt>
                <c:pt idx="15">
                  <c:v>24946769.949999999</c:v>
                </c:pt>
                <c:pt idx="16">
                  <c:v>24946769.949999999</c:v>
                </c:pt>
                <c:pt idx="17">
                  <c:v>24946769.949999999</c:v>
                </c:pt>
                <c:pt idx="18">
                  <c:v>24946769.949999999</c:v>
                </c:pt>
                <c:pt idx="19">
                  <c:v>24946769.949999999</c:v>
                </c:pt>
                <c:pt idx="20">
                  <c:v>24946769.949999999</c:v>
                </c:pt>
                <c:pt idx="21">
                  <c:v>24946769.949999999</c:v>
                </c:pt>
                <c:pt idx="22">
                  <c:v>24946769.949999999</c:v>
                </c:pt>
                <c:pt idx="23">
                  <c:v>24946769.949999999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9-4772-8C01-9B1137807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186448"/>
        <c:axId val="639191024"/>
      </c:lineChart>
      <c:dateAx>
        <c:axId val="639186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191024"/>
        <c:crosses val="autoZero"/>
        <c:auto val="1"/>
        <c:lblOffset val="100"/>
        <c:baseTimeUnit val="months"/>
      </c:dateAx>
      <c:valAx>
        <c:axId val="63919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18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490631</xdr:colOff>
      <xdr:row>0</xdr:row>
      <xdr:rowOff>662267</xdr:rowOff>
    </xdr:from>
    <xdr:to>
      <xdr:col>22</xdr:col>
      <xdr:colOff>221690</xdr:colOff>
      <xdr:row>14</xdr:row>
      <xdr:rowOff>54908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18CA4-6DD0-068C-C475-7393A7540C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489885</xdr:colOff>
      <xdr:row>15</xdr:row>
      <xdr:rowOff>23532</xdr:rowOff>
    </xdr:from>
    <xdr:to>
      <xdr:col>22</xdr:col>
      <xdr:colOff>220944</xdr:colOff>
      <xdr:row>27</xdr:row>
      <xdr:rowOff>200585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77D676-6D6D-5110-E347-3CDE967D73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425823</xdr:colOff>
      <xdr:row>29</xdr:row>
      <xdr:rowOff>34737</xdr:rowOff>
    </xdr:from>
    <xdr:to>
      <xdr:col>22</xdr:col>
      <xdr:colOff>156882</xdr:colOff>
      <xdr:row>42</xdr:row>
      <xdr:rowOff>155761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DE7D39-0A17-8399-49A8-3FD64C86B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509867</xdr:colOff>
      <xdr:row>43</xdr:row>
      <xdr:rowOff>79561</xdr:rowOff>
    </xdr:from>
    <xdr:to>
      <xdr:col>22</xdr:col>
      <xdr:colOff>240926</xdr:colOff>
      <xdr:row>56</xdr:row>
      <xdr:rowOff>43702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FC57D6-8E61-EE34-A5EB-12F3E0AE08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458787</xdr:colOff>
      <xdr:row>0</xdr:row>
      <xdr:rowOff>220662</xdr:rowOff>
    </xdr:from>
    <xdr:to>
      <xdr:col>22</xdr:col>
      <xdr:colOff>153987</xdr:colOff>
      <xdr:row>13</xdr:row>
      <xdr:rowOff>11112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6B4B7A-264E-B208-E841-001A3DE5A9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55562</xdr:colOff>
      <xdr:row>0</xdr:row>
      <xdr:rowOff>230187</xdr:rowOff>
    </xdr:from>
    <xdr:to>
      <xdr:col>30</xdr:col>
      <xdr:colOff>363537</xdr:colOff>
      <xdr:row>13</xdr:row>
      <xdr:rowOff>20637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0E1194-E5E0-B790-0D1D-85973BCD9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11112</xdr:colOff>
      <xdr:row>29</xdr:row>
      <xdr:rowOff>17462</xdr:rowOff>
    </xdr:from>
    <xdr:to>
      <xdr:col>18</xdr:col>
      <xdr:colOff>315912</xdr:colOff>
      <xdr:row>41</xdr:row>
      <xdr:rowOff>1587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7B73E8-6C51-D96D-64BD-60903D2C0B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220662</xdr:colOff>
      <xdr:row>29</xdr:row>
      <xdr:rowOff>1587</xdr:rowOff>
    </xdr:from>
    <xdr:to>
      <xdr:col>26</xdr:col>
      <xdr:colOff>525462</xdr:colOff>
      <xdr:row>40</xdr:row>
      <xdr:rowOff>179387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2B44B4E-3FDC-2D48-CCC1-886A133AB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675480</xdr:colOff>
      <xdr:row>62</xdr:row>
      <xdr:rowOff>172243</xdr:rowOff>
    </xdr:from>
    <xdr:to>
      <xdr:col>16</xdr:col>
      <xdr:colOff>561180</xdr:colOff>
      <xdr:row>76</xdr:row>
      <xdr:rowOff>141287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417044-7DF9-D8DA-9AD8-59724D5B5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49212</xdr:colOff>
      <xdr:row>62</xdr:row>
      <xdr:rowOff>169861</xdr:rowOff>
    </xdr:from>
    <xdr:to>
      <xdr:col>25</xdr:col>
      <xdr:colOff>351630</xdr:colOff>
      <xdr:row>76</xdr:row>
      <xdr:rowOff>138905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51CC547-B145-B70B-D87A-5BEACAF3B4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96837</xdr:colOff>
      <xdr:row>179</xdr:row>
      <xdr:rowOff>150812</xdr:rowOff>
    </xdr:from>
    <xdr:to>
      <xdr:col>14</xdr:col>
      <xdr:colOff>211137</xdr:colOff>
      <xdr:row>193</xdr:row>
      <xdr:rowOff>131762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CABA82CE-FB26-088D-0CE4-231611A73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509587</xdr:colOff>
      <xdr:row>89</xdr:row>
      <xdr:rowOff>80962</xdr:rowOff>
    </xdr:from>
    <xdr:to>
      <xdr:col>18</xdr:col>
      <xdr:colOff>204787</xdr:colOff>
      <xdr:row>102</xdr:row>
      <xdr:rowOff>42862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3CF3F72-EC62-803C-00ED-272991DC5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576262</xdr:colOff>
      <xdr:row>89</xdr:row>
      <xdr:rowOff>109537</xdr:rowOff>
    </xdr:from>
    <xdr:to>
      <xdr:col>26</xdr:col>
      <xdr:colOff>271462</xdr:colOff>
      <xdr:row>102</xdr:row>
      <xdr:rowOff>71437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9B663C1-73A1-4A39-84F5-A192886C5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869157</xdr:colOff>
      <xdr:row>154</xdr:row>
      <xdr:rowOff>86917</xdr:rowOff>
    </xdr:from>
    <xdr:to>
      <xdr:col>11</xdr:col>
      <xdr:colOff>785814</xdr:colOff>
      <xdr:row>167</xdr:row>
      <xdr:rowOff>198834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FE040BD-EED5-1F4A-A5F5-96ECA91F8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136921</xdr:colOff>
      <xdr:row>119</xdr:row>
      <xdr:rowOff>122634</xdr:rowOff>
    </xdr:from>
    <xdr:to>
      <xdr:col>18</xdr:col>
      <xdr:colOff>458390</xdr:colOff>
      <xdr:row>132</xdr:row>
      <xdr:rowOff>55959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073265-9A04-60F4-9272-D679F9218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297657</xdr:colOff>
      <xdr:row>119</xdr:row>
      <xdr:rowOff>158352</xdr:rowOff>
    </xdr:from>
    <xdr:to>
      <xdr:col>27</xdr:col>
      <xdr:colOff>11907</xdr:colOff>
      <xdr:row>132</xdr:row>
      <xdr:rowOff>91677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C9722ED-C7DE-ED16-7A62-FCE779DA2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434578</xdr:colOff>
      <xdr:row>13</xdr:row>
      <xdr:rowOff>63103</xdr:rowOff>
    </xdr:from>
    <xdr:to>
      <xdr:col>22</xdr:col>
      <xdr:colOff>148828</xdr:colOff>
      <xdr:row>26</xdr:row>
      <xdr:rowOff>163115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A0F6974-1A9E-2E22-A370-23A702520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671E-B535-40BE-9708-B7EE3E0BEAB7}">
  <dimension ref="A1:N78"/>
  <sheetViews>
    <sheetView tabSelected="1" zoomScale="85" zoomScaleNormal="85" workbookViewId="0">
      <selection activeCell="I11" sqref="I11"/>
    </sheetView>
  </sheetViews>
  <sheetFormatPr defaultRowHeight="14.5" x14ac:dyDescent="0.35"/>
  <cols>
    <col min="1" max="1" width="11.1796875" customWidth="1"/>
    <col min="2" max="2" width="16.453125" customWidth="1"/>
    <col min="3" max="3" width="14" customWidth="1"/>
    <col min="4" max="4" width="17.54296875" customWidth="1"/>
    <col min="5" max="5" width="12.54296875" customWidth="1"/>
    <col min="10" max="10" width="15.453125" customWidth="1"/>
    <col min="11" max="11" width="16.7265625" customWidth="1"/>
    <col min="12" max="12" width="22.54296875" customWidth="1"/>
    <col min="13" max="13" width="18.1796875" customWidth="1"/>
    <col min="14" max="14" width="13.81640625" customWidth="1"/>
  </cols>
  <sheetData>
    <row r="1" spans="1:14" ht="58" x14ac:dyDescent="0.35">
      <c r="A1" s="54" t="s">
        <v>15</v>
      </c>
      <c r="B1" s="55" t="s">
        <v>39</v>
      </c>
      <c r="C1" s="56" t="s">
        <v>32</v>
      </c>
      <c r="D1" s="56" t="s">
        <v>40</v>
      </c>
      <c r="E1" s="56" t="s">
        <v>33</v>
      </c>
      <c r="J1" s="54" t="s">
        <v>14</v>
      </c>
      <c r="K1" s="55" t="s">
        <v>39</v>
      </c>
      <c r="L1" s="56" t="s">
        <v>32</v>
      </c>
      <c r="M1" s="56" t="s">
        <v>40</v>
      </c>
      <c r="N1" s="56" t="s">
        <v>33</v>
      </c>
    </row>
    <row r="2" spans="1:14" ht="15.5" x14ac:dyDescent="0.35">
      <c r="A2" s="65">
        <v>44105</v>
      </c>
      <c r="B2" s="112">
        <f>'New Single Family Housing'!T5+'New Single Family Housing'!AD35+'New Single Family Housing'!AD65+'New Single Family Housing'!AD95+'New Single Family Housing'!AD125+'New Single Family Housing'!T155+'New Single Family Housing'!T185+'New Single Family Housing'!T215+'New Single Family Housing'!T245+'New Single Family Housing'!AD275</f>
        <v>0</v>
      </c>
      <c r="C2" s="112">
        <f>'New Single Family Housing'!U5+'New Single Family Housing'!AE35+'New Single Family Housing'!AE65+'New Single Family Housing'!AE95+'New Single Family Housing'!AE125+'New Single Family Housing'!U155+'New Single Family Housing'!U185+'New Single Family Housing'!U215+'New Single Family Housing'!U245+'New Single Family Housing'!AE275</f>
        <v>0</v>
      </c>
      <c r="D2" s="112">
        <f>B2</f>
        <v>0</v>
      </c>
      <c r="E2" s="112">
        <f>C2</f>
        <v>0</v>
      </c>
      <c r="J2" s="65">
        <v>44105</v>
      </c>
      <c r="K2" s="112">
        <f>'New Rental Housing'!O4+'New Rental Housing'!O34+'New Rental Housing'!O64+'New Rental Housing'!O94+'New Rental Housing'!O124+'New Rental Housing'!O154+'New Rental Housing'!O184+'New Rental Housing'!O214+'New Rental Housing'!O244</f>
        <v>0</v>
      </c>
      <c r="L2" s="112">
        <f>'New Rental Housing'!P4+'New Rental Housing'!P34+'New Rental Housing'!P64+'New Rental Housing'!P94+'New Rental Housing'!P124+'New Rental Housing'!P154+'New Rental Housing'!P184+'New Rental Housing'!P214+'New Rental Housing'!P244</f>
        <v>0</v>
      </c>
      <c r="M2" s="112">
        <f>K2</f>
        <v>0</v>
      </c>
      <c r="N2" s="112">
        <f>L2</f>
        <v>0</v>
      </c>
    </row>
    <row r="3" spans="1:14" ht="15.5" x14ac:dyDescent="0.35">
      <c r="A3" s="65">
        <v>44197</v>
      </c>
      <c r="B3" s="112">
        <f>'New Single Family Housing'!T6+'New Single Family Housing'!AD36+'New Single Family Housing'!AD66+'New Single Family Housing'!AD96+'New Single Family Housing'!AD126+'New Single Family Housing'!T156+'New Single Family Housing'!T186+'New Single Family Housing'!T216+'New Single Family Housing'!T246+'New Single Family Housing'!AD276</f>
        <v>0</v>
      </c>
      <c r="C3" s="112">
        <f>'New Single Family Housing'!U6+'New Single Family Housing'!AE36+'New Single Family Housing'!AE66+'New Single Family Housing'!AE96+'New Single Family Housing'!AE126+'New Single Family Housing'!U156+'New Single Family Housing'!U186+'New Single Family Housing'!U216+'New Single Family Housing'!U246+'New Single Family Housing'!AE276</f>
        <v>0</v>
      </c>
      <c r="D3" s="112">
        <f>D2+B3</f>
        <v>0</v>
      </c>
      <c r="E3" s="112">
        <f>E2+C3</f>
        <v>0</v>
      </c>
      <c r="J3" s="65">
        <v>44197</v>
      </c>
      <c r="K3" s="112">
        <f>'New Rental Housing'!O5+'New Rental Housing'!O35+'New Rental Housing'!O65+'New Rental Housing'!O95+'New Rental Housing'!O125+'New Rental Housing'!O155+'New Rental Housing'!O185+'New Rental Housing'!O215+'New Rental Housing'!O245</f>
        <v>0</v>
      </c>
      <c r="L3" s="112">
        <f>'New Rental Housing'!P5+'New Rental Housing'!P35+'New Rental Housing'!P65+'New Rental Housing'!P95+'New Rental Housing'!P125+'New Rental Housing'!P155+'New Rental Housing'!P185+'New Rental Housing'!P215+'New Rental Housing'!P245</f>
        <v>0</v>
      </c>
      <c r="M3" s="112">
        <f>M2+K3</f>
        <v>0</v>
      </c>
      <c r="N3" s="112">
        <f>N2+L3</f>
        <v>0</v>
      </c>
    </row>
    <row r="4" spans="1:14" ht="15.5" x14ac:dyDescent="0.35">
      <c r="A4" s="65">
        <v>44287</v>
      </c>
      <c r="B4" s="112">
        <f>'New Single Family Housing'!T7+'New Single Family Housing'!AD37+'New Single Family Housing'!AD67+'New Single Family Housing'!AD97+'New Single Family Housing'!AD127+'New Single Family Housing'!T157+'New Single Family Housing'!T187+'New Single Family Housing'!T217+'New Single Family Housing'!T247+'New Single Family Housing'!AD277</f>
        <v>0</v>
      </c>
      <c r="C4" s="112">
        <f>'New Single Family Housing'!U7+'New Single Family Housing'!AE37+'New Single Family Housing'!AE67+'New Single Family Housing'!AE97+'New Single Family Housing'!AE127+'New Single Family Housing'!U157+'New Single Family Housing'!U187+'New Single Family Housing'!U217+'New Single Family Housing'!U247+'New Single Family Housing'!AE277</f>
        <v>0</v>
      </c>
      <c r="D4" s="112">
        <f t="shared" ref="D4:D25" si="0">D3+B4</f>
        <v>0</v>
      </c>
      <c r="E4" s="112">
        <f t="shared" ref="E4:E24" si="1">E3+C4</f>
        <v>0</v>
      </c>
      <c r="J4" s="65">
        <v>44287</v>
      </c>
      <c r="K4" s="112">
        <f>'New Rental Housing'!O6+'New Rental Housing'!O36+'New Rental Housing'!O66+'New Rental Housing'!O96+'New Rental Housing'!O126+'New Rental Housing'!O156+'New Rental Housing'!O186+'New Rental Housing'!O216+'New Rental Housing'!O246</f>
        <v>0</v>
      </c>
      <c r="L4" s="112">
        <f>'New Rental Housing'!P6+'New Rental Housing'!P36+'New Rental Housing'!P66+'New Rental Housing'!P96+'New Rental Housing'!P126+'New Rental Housing'!P156+'New Rental Housing'!P186+'New Rental Housing'!P216+'New Rental Housing'!P246</f>
        <v>0</v>
      </c>
      <c r="M4" s="112">
        <f t="shared" ref="M4:M25" si="2">M3+K4</f>
        <v>0</v>
      </c>
      <c r="N4" s="112">
        <f t="shared" ref="N4:N25" si="3">N3+L4</f>
        <v>0</v>
      </c>
    </row>
    <row r="5" spans="1:14" ht="15.5" x14ac:dyDescent="0.35">
      <c r="A5" s="65">
        <v>44378</v>
      </c>
      <c r="B5" s="112">
        <f>'New Single Family Housing'!T8+'New Single Family Housing'!AD38+'New Single Family Housing'!AD68+'New Single Family Housing'!AD98+'New Single Family Housing'!AD128+'New Single Family Housing'!T158+'New Single Family Housing'!T188+'New Single Family Housing'!T218+'New Single Family Housing'!T248+'New Single Family Housing'!AD278</f>
        <v>0</v>
      </c>
      <c r="C5" s="112">
        <f>'New Single Family Housing'!U8+'New Single Family Housing'!AE38+'New Single Family Housing'!AE68+'New Single Family Housing'!AE98+'New Single Family Housing'!AE128+'New Single Family Housing'!U158+'New Single Family Housing'!U188+'New Single Family Housing'!U218+'New Single Family Housing'!U248+'New Single Family Housing'!AE278</f>
        <v>0</v>
      </c>
      <c r="D5" s="112">
        <f t="shared" si="0"/>
        <v>0</v>
      </c>
      <c r="E5" s="112">
        <f t="shared" si="1"/>
        <v>0</v>
      </c>
      <c r="J5" s="65">
        <v>44378</v>
      </c>
      <c r="K5" s="112">
        <f>'New Rental Housing'!O7+'New Rental Housing'!O37+'New Rental Housing'!O67+'New Rental Housing'!O97+'New Rental Housing'!O127+'New Rental Housing'!O157+'New Rental Housing'!O187+'New Rental Housing'!O217+'New Rental Housing'!O247</f>
        <v>0</v>
      </c>
      <c r="L5" s="112">
        <f>'New Rental Housing'!P7+'New Rental Housing'!P37+'New Rental Housing'!P67+'New Rental Housing'!P97+'New Rental Housing'!P127+'New Rental Housing'!P157+'New Rental Housing'!P187+'New Rental Housing'!P217+'New Rental Housing'!P247</f>
        <v>0</v>
      </c>
      <c r="M5" s="112">
        <f t="shared" si="2"/>
        <v>0</v>
      </c>
      <c r="N5" s="112">
        <f t="shared" si="3"/>
        <v>0</v>
      </c>
    </row>
    <row r="6" spans="1:14" ht="15.5" x14ac:dyDescent="0.35">
      <c r="A6" s="65">
        <v>44470</v>
      </c>
      <c r="B6" s="112">
        <f>'New Single Family Housing'!T9+'New Single Family Housing'!AD39+'New Single Family Housing'!AD69+'New Single Family Housing'!AD99+'New Single Family Housing'!AD129+'New Single Family Housing'!T159+'New Single Family Housing'!T189+'New Single Family Housing'!T219+'New Single Family Housing'!T249+'New Single Family Housing'!AD279</f>
        <v>0</v>
      </c>
      <c r="C6" s="112">
        <f>'New Single Family Housing'!U9+'New Single Family Housing'!AE39+'New Single Family Housing'!AE69+'New Single Family Housing'!AE99+'New Single Family Housing'!AE129+'New Single Family Housing'!U159+'New Single Family Housing'!U189+'New Single Family Housing'!U219+'New Single Family Housing'!U249+'New Single Family Housing'!AE279</f>
        <v>0</v>
      </c>
      <c r="D6" s="112">
        <f t="shared" si="0"/>
        <v>0</v>
      </c>
      <c r="E6" s="112">
        <f t="shared" si="1"/>
        <v>0</v>
      </c>
      <c r="J6" s="65">
        <v>44470</v>
      </c>
      <c r="K6" s="112">
        <f>'New Rental Housing'!O8+'New Rental Housing'!O38+'New Rental Housing'!O68+'New Rental Housing'!O98+'New Rental Housing'!O128+'New Rental Housing'!O158+'New Rental Housing'!O188+'New Rental Housing'!O218+'New Rental Housing'!O248</f>
        <v>0</v>
      </c>
      <c r="L6" s="112">
        <f>'New Rental Housing'!P8+'New Rental Housing'!P38+'New Rental Housing'!P68+'New Rental Housing'!P98+'New Rental Housing'!P128+'New Rental Housing'!P158+'New Rental Housing'!P188+'New Rental Housing'!P218+'New Rental Housing'!P248</f>
        <v>0</v>
      </c>
      <c r="M6" s="112">
        <f t="shared" si="2"/>
        <v>0</v>
      </c>
      <c r="N6" s="112">
        <f t="shared" si="3"/>
        <v>0</v>
      </c>
    </row>
    <row r="7" spans="1:14" ht="15.5" x14ac:dyDescent="0.35">
      <c r="A7" s="65">
        <v>44562</v>
      </c>
      <c r="B7" s="112">
        <f>'New Single Family Housing'!T10+'New Single Family Housing'!AD40+'New Single Family Housing'!AD70+'New Single Family Housing'!AD100+'New Single Family Housing'!AD130+'New Single Family Housing'!T160+'New Single Family Housing'!T190+'New Single Family Housing'!T220+'New Single Family Housing'!T250+'New Single Family Housing'!AD280</f>
        <v>0</v>
      </c>
      <c r="C7" s="112">
        <f>'New Single Family Housing'!U10+'New Single Family Housing'!AE40+'New Single Family Housing'!AE70+'New Single Family Housing'!AE100+'New Single Family Housing'!AE130+'New Single Family Housing'!U160+'New Single Family Housing'!U190+'New Single Family Housing'!U220+'New Single Family Housing'!U250+'New Single Family Housing'!AE280</f>
        <v>0</v>
      </c>
      <c r="D7" s="112">
        <f t="shared" si="0"/>
        <v>0</v>
      </c>
      <c r="E7" s="112">
        <f t="shared" si="1"/>
        <v>0</v>
      </c>
      <c r="J7" s="65">
        <v>44562</v>
      </c>
      <c r="K7" s="112">
        <f>'New Rental Housing'!O9+'New Rental Housing'!O39+'New Rental Housing'!O69+'New Rental Housing'!O99+'New Rental Housing'!O129+'New Rental Housing'!O159+'New Rental Housing'!O189+'New Rental Housing'!O219+'New Rental Housing'!O249</f>
        <v>0</v>
      </c>
      <c r="L7" s="112">
        <f>'New Rental Housing'!P9+'New Rental Housing'!P39+'New Rental Housing'!P69+'New Rental Housing'!P99+'New Rental Housing'!P129+'New Rental Housing'!P159+'New Rental Housing'!P189+'New Rental Housing'!P219+'New Rental Housing'!P249</f>
        <v>0</v>
      </c>
      <c r="M7" s="112">
        <f t="shared" si="2"/>
        <v>0</v>
      </c>
      <c r="N7" s="112">
        <f t="shared" si="3"/>
        <v>0</v>
      </c>
    </row>
    <row r="8" spans="1:14" ht="15.5" x14ac:dyDescent="0.35">
      <c r="A8" s="65">
        <v>44652</v>
      </c>
      <c r="B8" s="112">
        <f>'New Single Family Housing'!T11+'New Single Family Housing'!AD41+'New Single Family Housing'!AD71+'New Single Family Housing'!AD101+'New Single Family Housing'!AD131+'New Single Family Housing'!T161+'New Single Family Housing'!T191+'New Single Family Housing'!T221+'New Single Family Housing'!T251+'New Single Family Housing'!AD281</f>
        <v>0</v>
      </c>
      <c r="C8" s="112">
        <f>'New Single Family Housing'!U11+'New Single Family Housing'!AE41+'New Single Family Housing'!AE71+'New Single Family Housing'!AE101+'New Single Family Housing'!AE131+'New Single Family Housing'!U161+'New Single Family Housing'!U191+'New Single Family Housing'!U221+'New Single Family Housing'!U251+'New Single Family Housing'!AE281</f>
        <v>0</v>
      </c>
      <c r="D8" s="112">
        <f t="shared" si="0"/>
        <v>0</v>
      </c>
      <c r="E8" s="112">
        <f t="shared" si="1"/>
        <v>0</v>
      </c>
      <c r="J8" s="65">
        <v>44652</v>
      </c>
      <c r="K8" s="112">
        <f>'New Rental Housing'!O10+'New Rental Housing'!O40+'New Rental Housing'!O70+'New Rental Housing'!O100+'New Rental Housing'!O130+'New Rental Housing'!O160+'New Rental Housing'!O190+'New Rental Housing'!O220+'New Rental Housing'!O250</f>
        <v>0</v>
      </c>
      <c r="L8" s="112">
        <f>'New Rental Housing'!P10+'New Rental Housing'!P40+'New Rental Housing'!P70+'New Rental Housing'!P100+'New Rental Housing'!P130+'New Rental Housing'!P160+'New Rental Housing'!P190+'New Rental Housing'!P220+'New Rental Housing'!P250</f>
        <v>0</v>
      </c>
      <c r="M8" s="112">
        <f t="shared" si="2"/>
        <v>0</v>
      </c>
      <c r="N8" s="112">
        <f t="shared" si="3"/>
        <v>0</v>
      </c>
    </row>
    <row r="9" spans="1:14" ht="15.5" x14ac:dyDescent="0.35">
      <c r="A9" s="65">
        <v>44743</v>
      </c>
      <c r="B9" s="112">
        <f>'New Single Family Housing'!T12+'New Single Family Housing'!AD42+'New Single Family Housing'!AD72+'New Single Family Housing'!AD102+'New Single Family Housing'!AD132+'New Single Family Housing'!T162+'New Single Family Housing'!T192+'New Single Family Housing'!T222+'New Single Family Housing'!T252+'New Single Family Housing'!AD282</f>
        <v>0</v>
      </c>
      <c r="C9" s="112">
        <f>'New Single Family Housing'!U12+'New Single Family Housing'!AE42+'New Single Family Housing'!AE72+'New Single Family Housing'!AE102+'New Single Family Housing'!AE132+'New Single Family Housing'!U162+'New Single Family Housing'!U192+'New Single Family Housing'!U222+'New Single Family Housing'!U252+'New Single Family Housing'!AE282</f>
        <v>0</v>
      </c>
      <c r="D9" s="112">
        <f t="shared" si="0"/>
        <v>0</v>
      </c>
      <c r="E9" s="112">
        <f t="shared" si="1"/>
        <v>0</v>
      </c>
      <c r="J9" s="65">
        <v>44743</v>
      </c>
      <c r="K9" s="112">
        <f>'New Rental Housing'!O11+'New Rental Housing'!O41+'New Rental Housing'!O71+'New Rental Housing'!O101+'New Rental Housing'!O131+'New Rental Housing'!O161+'New Rental Housing'!O191+'New Rental Housing'!O221+'New Rental Housing'!O251</f>
        <v>0</v>
      </c>
      <c r="L9" s="112">
        <f>'New Rental Housing'!P11+'New Rental Housing'!P41+'New Rental Housing'!P71+'New Rental Housing'!P101+'New Rental Housing'!P131+'New Rental Housing'!P161+'New Rental Housing'!P191+'New Rental Housing'!P221+'New Rental Housing'!P251</f>
        <v>0</v>
      </c>
      <c r="M9" s="112">
        <f t="shared" si="2"/>
        <v>0</v>
      </c>
      <c r="N9" s="112">
        <f t="shared" si="3"/>
        <v>0</v>
      </c>
    </row>
    <row r="10" spans="1:14" ht="15.5" x14ac:dyDescent="0.35">
      <c r="A10" s="65">
        <v>44835</v>
      </c>
      <c r="B10" s="112">
        <f>'New Single Family Housing'!T13+'New Single Family Housing'!AD43+'New Single Family Housing'!AD73+'New Single Family Housing'!AD103+'New Single Family Housing'!AD133+'New Single Family Housing'!T163+'New Single Family Housing'!T193+'New Single Family Housing'!T223+'New Single Family Housing'!T253+'New Single Family Housing'!AD283</f>
        <v>0</v>
      </c>
      <c r="C10" s="112">
        <f>'New Single Family Housing'!U13+'New Single Family Housing'!AE43+'New Single Family Housing'!AE73+'New Single Family Housing'!AE103+'New Single Family Housing'!AE133+'New Single Family Housing'!U163+'New Single Family Housing'!U193+'New Single Family Housing'!U223+'New Single Family Housing'!U253+'New Single Family Housing'!AE283</f>
        <v>0</v>
      </c>
      <c r="D10" s="112">
        <f t="shared" si="0"/>
        <v>0</v>
      </c>
      <c r="E10" s="112">
        <f t="shared" si="1"/>
        <v>0</v>
      </c>
      <c r="J10" s="65">
        <v>44835</v>
      </c>
      <c r="K10" s="112">
        <f>'New Rental Housing'!O12+'New Rental Housing'!O42+'New Rental Housing'!O72+'New Rental Housing'!O102+'New Rental Housing'!O132+'New Rental Housing'!O162+'New Rental Housing'!O192+'New Rental Housing'!O222+'New Rental Housing'!O252</f>
        <v>0</v>
      </c>
      <c r="L10" s="112">
        <f>'New Rental Housing'!P12+'New Rental Housing'!P42+'New Rental Housing'!P72+'New Rental Housing'!P102+'New Rental Housing'!P132+'New Rental Housing'!P162+'New Rental Housing'!P192+'New Rental Housing'!P222+'New Rental Housing'!P252</f>
        <v>0</v>
      </c>
      <c r="M10" s="112">
        <f t="shared" si="2"/>
        <v>0</v>
      </c>
      <c r="N10" s="112">
        <f t="shared" si="3"/>
        <v>0</v>
      </c>
    </row>
    <row r="11" spans="1:14" ht="15.5" x14ac:dyDescent="0.35">
      <c r="A11" s="65">
        <v>44927</v>
      </c>
      <c r="B11" s="112">
        <f>'New Single Family Housing'!T14+'New Single Family Housing'!AD44+'New Single Family Housing'!AD74+'New Single Family Housing'!AD104+'New Single Family Housing'!AD134+'New Single Family Housing'!T164+'New Single Family Housing'!T194+'New Single Family Housing'!T224+'New Single Family Housing'!T254+'New Single Family Housing'!AD284</f>
        <v>0</v>
      </c>
      <c r="C11" s="112">
        <f>'New Single Family Housing'!U14+'New Single Family Housing'!AE44+'New Single Family Housing'!AE74+'New Single Family Housing'!AE104+'New Single Family Housing'!AE134+'New Single Family Housing'!U164+'New Single Family Housing'!U194+'New Single Family Housing'!U224+'New Single Family Housing'!U254+'New Single Family Housing'!AE284</f>
        <v>0</v>
      </c>
      <c r="D11" s="112">
        <f t="shared" si="0"/>
        <v>0</v>
      </c>
      <c r="E11" s="112">
        <f t="shared" si="1"/>
        <v>0</v>
      </c>
      <c r="J11" s="65">
        <v>44927</v>
      </c>
      <c r="K11" s="112">
        <f>'New Rental Housing'!O13+'New Rental Housing'!O43+'New Rental Housing'!O73+'New Rental Housing'!O103+'New Rental Housing'!O133+'New Rental Housing'!O163+'New Rental Housing'!O193+'New Rental Housing'!O223+'New Rental Housing'!O253</f>
        <v>0</v>
      </c>
      <c r="L11" s="112">
        <f>'New Rental Housing'!P13+'New Rental Housing'!P43+'New Rental Housing'!P73+'New Rental Housing'!P103+'New Rental Housing'!P133+'New Rental Housing'!P163+'New Rental Housing'!P193+'New Rental Housing'!P223+'New Rental Housing'!P253</f>
        <v>0</v>
      </c>
      <c r="M11" s="112">
        <f t="shared" si="2"/>
        <v>0</v>
      </c>
      <c r="N11" s="112">
        <f t="shared" si="3"/>
        <v>0</v>
      </c>
    </row>
    <row r="12" spans="1:14" ht="15.5" x14ac:dyDescent="0.35">
      <c r="A12" s="65">
        <v>45017</v>
      </c>
      <c r="B12" s="112">
        <f>'New Single Family Housing'!T15+'New Single Family Housing'!AD45+'New Single Family Housing'!AD75+'New Single Family Housing'!AD105+'New Single Family Housing'!AD135+'New Single Family Housing'!T165+'New Single Family Housing'!T195+'New Single Family Housing'!T225+'New Single Family Housing'!T255+'New Single Family Housing'!AD285</f>
        <v>0</v>
      </c>
      <c r="C12" s="112">
        <f>'New Single Family Housing'!U15+'New Single Family Housing'!AE45+'New Single Family Housing'!AE75+'New Single Family Housing'!AE105+'New Single Family Housing'!AE135+'New Single Family Housing'!U165+'New Single Family Housing'!U195+'New Single Family Housing'!U225+'New Single Family Housing'!U255+'New Single Family Housing'!AE285</f>
        <v>0</v>
      </c>
      <c r="D12" s="112">
        <f t="shared" si="0"/>
        <v>0</v>
      </c>
      <c r="E12" s="112">
        <f t="shared" si="1"/>
        <v>0</v>
      </c>
      <c r="J12" s="65">
        <v>45017</v>
      </c>
      <c r="K12" s="112">
        <f>'New Rental Housing'!O14+'New Rental Housing'!O44+'New Rental Housing'!O74+'New Rental Housing'!O104+'New Rental Housing'!O134+'New Rental Housing'!O164+'New Rental Housing'!O194+'New Rental Housing'!O224+'New Rental Housing'!O254</f>
        <v>0</v>
      </c>
      <c r="L12" s="112">
        <f>'New Rental Housing'!P14+'New Rental Housing'!P44+'New Rental Housing'!P74+'New Rental Housing'!P104+'New Rental Housing'!P134+'New Rental Housing'!P164+'New Rental Housing'!P194+'New Rental Housing'!P224+'New Rental Housing'!P254</f>
        <v>0</v>
      </c>
      <c r="M12" s="112">
        <f t="shared" si="2"/>
        <v>0</v>
      </c>
      <c r="N12" s="112">
        <f t="shared" si="3"/>
        <v>0</v>
      </c>
    </row>
    <row r="13" spans="1:14" ht="15.5" x14ac:dyDescent="0.35">
      <c r="A13" s="65">
        <v>45108</v>
      </c>
      <c r="B13" s="112">
        <f>'New Single Family Housing'!T16+'New Single Family Housing'!AD46+'New Single Family Housing'!AD76+'New Single Family Housing'!AD106+'New Single Family Housing'!AD136+'New Single Family Housing'!T166+'New Single Family Housing'!T196+'New Single Family Housing'!T226+'New Single Family Housing'!T256+'New Single Family Housing'!AD286</f>
        <v>0</v>
      </c>
      <c r="C13" s="112">
        <f>'New Single Family Housing'!U16+'New Single Family Housing'!AE46+'New Single Family Housing'!AE76+'New Single Family Housing'!AE106+'New Single Family Housing'!AE136+'New Single Family Housing'!U166+'New Single Family Housing'!U196+'New Single Family Housing'!U226+'New Single Family Housing'!U256+'New Single Family Housing'!AE286</f>
        <v>2</v>
      </c>
      <c r="D13" s="112">
        <f t="shared" si="0"/>
        <v>0</v>
      </c>
      <c r="E13" s="112">
        <f t="shared" si="1"/>
        <v>2</v>
      </c>
      <c r="J13" s="65">
        <v>45108</v>
      </c>
      <c r="K13" s="112">
        <f>'New Rental Housing'!O15+'New Rental Housing'!O45+'New Rental Housing'!O75+'New Rental Housing'!O105+'New Rental Housing'!O135+'New Rental Housing'!O165+'New Rental Housing'!O195+'New Rental Housing'!O225+'New Rental Housing'!O255</f>
        <v>0</v>
      </c>
      <c r="L13" s="112">
        <f>'New Rental Housing'!P15+'New Rental Housing'!P45+'New Rental Housing'!P75+'New Rental Housing'!P105+'New Rental Housing'!P135+'New Rental Housing'!P165+'New Rental Housing'!P195+'New Rental Housing'!P225+'New Rental Housing'!P255</f>
        <v>0</v>
      </c>
      <c r="M13" s="112">
        <f t="shared" si="2"/>
        <v>0</v>
      </c>
      <c r="N13" s="112">
        <f t="shared" si="3"/>
        <v>0</v>
      </c>
    </row>
    <row r="14" spans="1:14" ht="15.5" x14ac:dyDescent="0.35">
      <c r="A14" s="65">
        <v>45200</v>
      </c>
      <c r="B14" s="112">
        <f>'New Single Family Housing'!T17+'New Single Family Housing'!AD47+'New Single Family Housing'!AD77+'New Single Family Housing'!AD107+'New Single Family Housing'!AD137+'New Single Family Housing'!T167+'New Single Family Housing'!T197+'New Single Family Housing'!T227+'New Single Family Housing'!T257+'New Single Family Housing'!AD287</f>
        <v>1</v>
      </c>
      <c r="C14" s="112">
        <f>'New Single Family Housing'!U17+'New Single Family Housing'!AE47+'New Single Family Housing'!AE77+'New Single Family Housing'!AE107+'New Single Family Housing'!AE137+'New Single Family Housing'!U167+'New Single Family Housing'!U197+'New Single Family Housing'!U227+'New Single Family Housing'!U257+'New Single Family Housing'!AE287</f>
        <v>16</v>
      </c>
      <c r="D14" s="112">
        <f t="shared" si="0"/>
        <v>1</v>
      </c>
      <c r="E14" s="112">
        <f t="shared" si="1"/>
        <v>18</v>
      </c>
      <c r="J14" s="65">
        <v>45200</v>
      </c>
      <c r="K14" s="112">
        <f>'New Rental Housing'!O16+'New Rental Housing'!O46+'New Rental Housing'!O76+'New Rental Housing'!O106+'New Rental Housing'!O136+'New Rental Housing'!O166+'New Rental Housing'!O196+'New Rental Housing'!O226+'New Rental Housing'!O256</f>
        <v>0</v>
      </c>
      <c r="L14" s="112">
        <f>'New Rental Housing'!P16+'New Rental Housing'!P46+'New Rental Housing'!P76+'New Rental Housing'!P106+'New Rental Housing'!P136+'New Rental Housing'!P166+'New Rental Housing'!P196+'New Rental Housing'!P226+'New Rental Housing'!P256</f>
        <v>0</v>
      </c>
      <c r="M14" s="112">
        <f t="shared" si="2"/>
        <v>0</v>
      </c>
      <c r="N14" s="112">
        <f t="shared" si="3"/>
        <v>0</v>
      </c>
    </row>
    <row r="15" spans="1:14" ht="15.5" x14ac:dyDescent="0.35">
      <c r="A15" s="65">
        <v>45292</v>
      </c>
      <c r="B15" s="112">
        <f>'New Single Family Housing'!T18+'New Single Family Housing'!AD48+'New Single Family Housing'!AD78+'New Single Family Housing'!AD108+'New Single Family Housing'!AD138+'New Single Family Housing'!T168+'New Single Family Housing'!T198+'New Single Family Housing'!T228+'New Single Family Housing'!T258+'New Single Family Housing'!AD288</f>
        <v>1</v>
      </c>
      <c r="C15" s="112">
        <f>'New Single Family Housing'!U18+'New Single Family Housing'!AE48+'New Single Family Housing'!AE78+'New Single Family Housing'!AE108+'New Single Family Housing'!AE138+'New Single Family Housing'!U168+'New Single Family Housing'!U198+'New Single Family Housing'!U228+'New Single Family Housing'!U258+'New Single Family Housing'!AE288</f>
        <v>4</v>
      </c>
      <c r="D15" s="112">
        <f t="shared" si="0"/>
        <v>2</v>
      </c>
      <c r="E15" s="112">
        <f t="shared" si="1"/>
        <v>22</v>
      </c>
      <c r="J15" s="65">
        <v>45292</v>
      </c>
      <c r="K15" s="112">
        <f>'New Rental Housing'!O17+'New Rental Housing'!O47+'New Rental Housing'!O77+'New Rental Housing'!O107+'New Rental Housing'!O137+'New Rental Housing'!O167+'New Rental Housing'!O197+'New Rental Housing'!O227+'New Rental Housing'!O257</f>
        <v>0</v>
      </c>
      <c r="L15" s="112">
        <f>'New Rental Housing'!P17+'New Rental Housing'!P47+'New Rental Housing'!P77+'New Rental Housing'!P107+'New Rental Housing'!P137+'New Rental Housing'!P167+'New Rental Housing'!P197+'New Rental Housing'!P227+'New Rental Housing'!P257</f>
        <v>4</v>
      </c>
      <c r="M15" s="112">
        <f t="shared" si="2"/>
        <v>0</v>
      </c>
      <c r="N15" s="112">
        <f t="shared" si="3"/>
        <v>4</v>
      </c>
    </row>
    <row r="16" spans="1:14" ht="15.5" x14ac:dyDescent="0.35">
      <c r="A16" s="65">
        <v>45383</v>
      </c>
      <c r="B16" s="112">
        <f>'New Single Family Housing'!T19+'New Single Family Housing'!AD49+'New Single Family Housing'!AD79+'New Single Family Housing'!AD109+'New Single Family Housing'!AD139+'New Single Family Housing'!T169+'New Single Family Housing'!T199+'New Single Family Housing'!T229+'New Single Family Housing'!T259+'New Single Family Housing'!AD289</f>
        <v>1</v>
      </c>
      <c r="C16" s="112">
        <f>'New Single Family Housing'!U19+'New Single Family Housing'!AE49+'New Single Family Housing'!AE79+'New Single Family Housing'!AE109+'New Single Family Housing'!AE139+'New Single Family Housing'!U169+'New Single Family Housing'!U199+'New Single Family Housing'!U229+'New Single Family Housing'!U259+'New Single Family Housing'!AE289</f>
        <v>0</v>
      </c>
      <c r="D16" s="112">
        <f t="shared" si="0"/>
        <v>3</v>
      </c>
      <c r="E16" s="112">
        <f t="shared" si="1"/>
        <v>22</v>
      </c>
      <c r="J16" s="65">
        <v>45383</v>
      </c>
      <c r="K16" s="112">
        <f>'New Rental Housing'!O18+'New Rental Housing'!O48+'New Rental Housing'!O78+'New Rental Housing'!O108+'New Rental Housing'!O138+'New Rental Housing'!O168+'New Rental Housing'!O198+'New Rental Housing'!O228+'New Rental Housing'!O258</f>
        <v>1</v>
      </c>
      <c r="L16" s="112">
        <f>'New Rental Housing'!P18+'New Rental Housing'!P48+'New Rental Housing'!P78+'New Rental Housing'!P108+'New Rental Housing'!P138+'New Rental Housing'!P168+'New Rental Housing'!P198+'New Rental Housing'!P228+'New Rental Housing'!P258</f>
        <v>0</v>
      </c>
      <c r="M16" s="112">
        <f t="shared" si="2"/>
        <v>1</v>
      </c>
      <c r="N16" s="112">
        <f t="shared" si="3"/>
        <v>4</v>
      </c>
    </row>
    <row r="17" spans="1:14" ht="15.5" x14ac:dyDescent="0.35">
      <c r="A17" s="65">
        <v>45474</v>
      </c>
      <c r="B17" s="112">
        <f>'New Single Family Housing'!T20+'New Single Family Housing'!AD50+'New Single Family Housing'!AD80+'New Single Family Housing'!AD110+'New Single Family Housing'!AD140+'New Single Family Housing'!T170+'New Single Family Housing'!T200+'New Single Family Housing'!T230+'New Single Family Housing'!T260+'New Single Family Housing'!AD290</f>
        <v>4</v>
      </c>
      <c r="C17" s="112">
        <f>'New Single Family Housing'!U20+'New Single Family Housing'!AE50+'New Single Family Housing'!AE80+'New Single Family Housing'!AE110+'New Single Family Housing'!AE140+'New Single Family Housing'!U170+'New Single Family Housing'!U200+'New Single Family Housing'!U230+'New Single Family Housing'!U260+'New Single Family Housing'!AE290</f>
        <v>0</v>
      </c>
      <c r="D17" s="112">
        <f t="shared" si="0"/>
        <v>7</v>
      </c>
      <c r="E17" s="112">
        <f t="shared" si="1"/>
        <v>22</v>
      </c>
      <c r="J17" s="65">
        <v>45474</v>
      </c>
      <c r="K17" s="112">
        <f>'New Rental Housing'!O19+'New Rental Housing'!O49+'New Rental Housing'!O79+'New Rental Housing'!O109+'New Rental Housing'!O139+'New Rental Housing'!O169+'New Rental Housing'!O199+'New Rental Housing'!O229+'New Rental Housing'!O259</f>
        <v>4</v>
      </c>
      <c r="L17" s="112">
        <f>'New Rental Housing'!P19+'New Rental Housing'!P49+'New Rental Housing'!P79+'New Rental Housing'!P109+'New Rental Housing'!P139+'New Rental Housing'!P169+'New Rental Housing'!P199+'New Rental Housing'!P229+'New Rental Housing'!P259</f>
        <v>4</v>
      </c>
      <c r="M17" s="112">
        <f t="shared" si="2"/>
        <v>5</v>
      </c>
      <c r="N17" s="112">
        <f t="shared" si="3"/>
        <v>8</v>
      </c>
    </row>
    <row r="18" spans="1:14" ht="15.5" x14ac:dyDescent="0.35">
      <c r="A18" s="2">
        <v>45566</v>
      </c>
      <c r="B18">
        <f>'New Single Family Housing'!T21+'New Single Family Housing'!AD51+'New Single Family Housing'!AD81+'New Single Family Housing'!AD111+'New Single Family Housing'!AD141+'New Single Family Housing'!T171+'New Single Family Housing'!T201+'New Single Family Housing'!T231+'New Single Family Housing'!T261+'New Single Family Housing'!AD291</f>
        <v>3</v>
      </c>
      <c r="C18">
        <f>'New Single Family Housing'!U21+'New Single Family Housing'!AE51+'New Single Family Housing'!AE81+'New Single Family Housing'!AE111+'New Single Family Housing'!AE141+'New Single Family Housing'!U171+'New Single Family Housing'!U201+'New Single Family Housing'!U231+'New Single Family Housing'!U261+'New Single Family Housing'!AE291</f>
        <v>0</v>
      </c>
      <c r="D18">
        <f t="shared" si="0"/>
        <v>10</v>
      </c>
      <c r="E18">
        <f t="shared" si="1"/>
        <v>22</v>
      </c>
      <c r="J18" s="2">
        <v>45566</v>
      </c>
      <c r="K18">
        <f>'New Rental Housing'!O20+'New Rental Housing'!O50+'New Rental Housing'!O80+'New Rental Housing'!O110+'New Rental Housing'!O140+'New Rental Housing'!O170+'New Rental Housing'!O200+'New Rental Housing'!O230+'New Rental Housing'!O260</f>
        <v>70</v>
      </c>
      <c r="L18">
        <f>'New Rental Housing'!P20+'New Rental Housing'!P50+'New Rental Housing'!P80+'New Rental Housing'!P110+'New Rental Housing'!P140+'New Rental Housing'!P170+'New Rental Housing'!P200+'New Rental Housing'!P230+'New Rental Housing'!P260</f>
        <v>2</v>
      </c>
      <c r="M18">
        <f t="shared" si="2"/>
        <v>75</v>
      </c>
      <c r="N18">
        <f t="shared" si="3"/>
        <v>10</v>
      </c>
    </row>
    <row r="19" spans="1:14" ht="15.5" x14ac:dyDescent="0.35">
      <c r="A19" s="2">
        <v>45658</v>
      </c>
      <c r="B19">
        <f>'New Single Family Housing'!T22+'New Single Family Housing'!AD52+'New Single Family Housing'!AD82+'New Single Family Housing'!AD112+'New Single Family Housing'!AD142+'New Single Family Housing'!T172+'New Single Family Housing'!T202+'New Single Family Housing'!T232+'New Single Family Housing'!T262+'New Single Family Housing'!AD292</f>
        <v>74</v>
      </c>
      <c r="C19">
        <f>'New Single Family Housing'!U22+'New Single Family Housing'!AE52+'New Single Family Housing'!AE82+'New Single Family Housing'!AE112+'New Single Family Housing'!AE142+'New Single Family Housing'!U172+'New Single Family Housing'!U202+'New Single Family Housing'!U232+'New Single Family Housing'!U262+'New Single Family Housing'!AE292</f>
        <v>0</v>
      </c>
      <c r="D19">
        <f t="shared" si="0"/>
        <v>84</v>
      </c>
      <c r="E19">
        <f t="shared" si="1"/>
        <v>22</v>
      </c>
      <c r="J19" s="2">
        <v>45658</v>
      </c>
      <c r="K19">
        <f>'New Rental Housing'!O21+'New Rental Housing'!O51+'New Rental Housing'!O81+'New Rental Housing'!O111+'New Rental Housing'!O141+'New Rental Housing'!O171+'New Rental Housing'!O201+'New Rental Housing'!O231+'New Rental Housing'!O261</f>
        <v>4</v>
      </c>
      <c r="L19">
        <f>'New Rental Housing'!P21+'New Rental Housing'!P51+'New Rental Housing'!P81+'New Rental Housing'!P111+'New Rental Housing'!P141+'New Rental Housing'!P171+'New Rental Housing'!P201+'New Rental Housing'!P231+'New Rental Housing'!P261</f>
        <v>0</v>
      </c>
      <c r="M19">
        <f t="shared" si="2"/>
        <v>79</v>
      </c>
      <c r="N19">
        <f t="shared" si="3"/>
        <v>10</v>
      </c>
    </row>
    <row r="20" spans="1:14" ht="15.5" x14ac:dyDescent="0.35">
      <c r="A20" s="2">
        <v>45748</v>
      </c>
      <c r="B20">
        <f>'New Single Family Housing'!T23+'New Single Family Housing'!AD53+'New Single Family Housing'!AD83+'New Single Family Housing'!AD113+'New Single Family Housing'!AD143+'New Single Family Housing'!T173+'New Single Family Housing'!T203+'New Single Family Housing'!T233+'New Single Family Housing'!T263+'New Single Family Housing'!AD293</f>
        <v>0</v>
      </c>
      <c r="C20">
        <f>'New Single Family Housing'!U23+'New Single Family Housing'!AE53+'New Single Family Housing'!AE83+'New Single Family Housing'!AE113+'New Single Family Housing'!AE143+'New Single Family Housing'!U173+'New Single Family Housing'!U203+'New Single Family Housing'!U233+'New Single Family Housing'!U263+'New Single Family Housing'!AE293</f>
        <v>0</v>
      </c>
      <c r="D20">
        <f t="shared" si="0"/>
        <v>84</v>
      </c>
      <c r="E20">
        <f t="shared" si="1"/>
        <v>22</v>
      </c>
      <c r="J20" s="2">
        <v>45748</v>
      </c>
      <c r="K20">
        <f>'New Rental Housing'!O22+'New Rental Housing'!O52+'New Rental Housing'!O82+'New Rental Housing'!O112+'New Rental Housing'!O142+'New Rental Housing'!O172+'New Rental Housing'!O202+'New Rental Housing'!O232+'New Rental Housing'!O262</f>
        <v>0</v>
      </c>
      <c r="L20">
        <f>'New Rental Housing'!P22+'New Rental Housing'!P52+'New Rental Housing'!P82+'New Rental Housing'!P112+'New Rental Housing'!P142+'New Rental Housing'!P172+'New Rental Housing'!P202+'New Rental Housing'!P232+'New Rental Housing'!P262</f>
        <v>0</v>
      </c>
      <c r="M20">
        <f t="shared" si="2"/>
        <v>79</v>
      </c>
      <c r="N20">
        <f t="shared" si="3"/>
        <v>10</v>
      </c>
    </row>
    <row r="21" spans="1:14" ht="15.5" x14ac:dyDescent="0.35">
      <c r="A21" s="2">
        <v>45839</v>
      </c>
      <c r="B21">
        <f>'New Single Family Housing'!T24+'New Single Family Housing'!AD54+'New Single Family Housing'!AD84+'New Single Family Housing'!AD114+'New Single Family Housing'!AD144+'New Single Family Housing'!T174+'New Single Family Housing'!T204+'New Single Family Housing'!T234+'New Single Family Housing'!T264+'New Single Family Housing'!AD294</f>
        <v>0</v>
      </c>
      <c r="C21">
        <f>'New Single Family Housing'!U24+'New Single Family Housing'!AE54+'New Single Family Housing'!AE84+'New Single Family Housing'!AE114+'New Single Family Housing'!AE144+'New Single Family Housing'!U174+'New Single Family Housing'!U204+'New Single Family Housing'!U234+'New Single Family Housing'!U264+'New Single Family Housing'!AE294</f>
        <v>0</v>
      </c>
      <c r="D21">
        <f t="shared" si="0"/>
        <v>84</v>
      </c>
      <c r="E21">
        <f t="shared" si="1"/>
        <v>22</v>
      </c>
      <c r="J21" s="2">
        <v>45839</v>
      </c>
      <c r="K21">
        <f>'New Rental Housing'!O23+'New Rental Housing'!O53+'New Rental Housing'!O83+'New Rental Housing'!O113+'New Rental Housing'!O143+'New Rental Housing'!O173+'New Rental Housing'!O203+'New Rental Housing'!O233+'New Rental Housing'!O263</f>
        <v>0</v>
      </c>
      <c r="L21">
        <f>'New Rental Housing'!P23+'New Rental Housing'!P53+'New Rental Housing'!P83+'New Rental Housing'!P113+'New Rental Housing'!P143+'New Rental Housing'!P173+'New Rental Housing'!P203+'New Rental Housing'!P233+'New Rental Housing'!P263</f>
        <v>0</v>
      </c>
      <c r="M21">
        <f t="shared" si="2"/>
        <v>79</v>
      </c>
      <c r="N21">
        <f t="shared" si="3"/>
        <v>10</v>
      </c>
    </row>
    <row r="22" spans="1:14" ht="15.5" x14ac:dyDescent="0.35">
      <c r="A22" s="2">
        <v>45931</v>
      </c>
      <c r="B22">
        <f>'New Single Family Housing'!T25+'New Single Family Housing'!AD55+'New Single Family Housing'!AD85+'New Single Family Housing'!AD115+'New Single Family Housing'!AD145+'New Single Family Housing'!T175+'New Single Family Housing'!T205+'New Single Family Housing'!T235+'New Single Family Housing'!T265+'New Single Family Housing'!AD295</f>
        <v>0</v>
      </c>
      <c r="C22">
        <f>'New Single Family Housing'!U25+'New Single Family Housing'!AE55+'New Single Family Housing'!AE85+'New Single Family Housing'!AE115+'New Single Family Housing'!AE145+'New Single Family Housing'!U175+'New Single Family Housing'!U205+'New Single Family Housing'!U235+'New Single Family Housing'!U265+'New Single Family Housing'!AE295</f>
        <v>0</v>
      </c>
      <c r="D22">
        <f t="shared" si="0"/>
        <v>84</v>
      </c>
      <c r="E22">
        <f t="shared" si="1"/>
        <v>22</v>
      </c>
      <c r="J22" s="2">
        <v>45931</v>
      </c>
      <c r="K22">
        <f>'New Rental Housing'!O24+'New Rental Housing'!O54+'New Rental Housing'!O84+'New Rental Housing'!O114+'New Rental Housing'!O144+'New Rental Housing'!O174+'New Rental Housing'!O204+'New Rental Housing'!O234+'New Rental Housing'!O264</f>
        <v>4</v>
      </c>
      <c r="L22">
        <f>'New Rental Housing'!P24+'New Rental Housing'!P54+'New Rental Housing'!P84+'New Rental Housing'!P114+'New Rental Housing'!P144+'New Rental Housing'!P174+'New Rental Housing'!P204+'New Rental Housing'!P234+'New Rental Housing'!P264</f>
        <v>0</v>
      </c>
      <c r="M22">
        <f t="shared" si="2"/>
        <v>83</v>
      </c>
      <c r="N22">
        <f t="shared" si="3"/>
        <v>10</v>
      </c>
    </row>
    <row r="23" spans="1:14" ht="15.5" x14ac:dyDescent="0.35">
      <c r="A23" s="2">
        <v>46023</v>
      </c>
      <c r="B23">
        <f>'New Single Family Housing'!T26+'New Single Family Housing'!AD56+'New Single Family Housing'!AD86+'New Single Family Housing'!AD116+'New Single Family Housing'!AD146+'New Single Family Housing'!T176+'New Single Family Housing'!T206+'New Single Family Housing'!T236+'New Single Family Housing'!T266+'New Single Family Housing'!AD296</f>
        <v>0</v>
      </c>
      <c r="C23">
        <f>'New Single Family Housing'!U26+'New Single Family Housing'!AE56+'New Single Family Housing'!AE86+'New Single Family Housing'!AE116+'New Single Family Housing'!AE146+'New Single Family Housing'!U176+'New Single Family Housing'!U206+'New Single Family Housing'!U236+'New Single Family Housing'!U266+'New Single Family Housing'!AE296</f>
        <v>0</v>
      </c>
      <c r="D23">
        <f t="shared" si="0"/>
        <v>84</v>
      </c>
      <c r="E23">
        <f t="shared" si="1"/>
        <v>22</v>
      </c>
      <c r="J23" s="2">
        <v>46023</v>
      </c>
      <c r="K23">
        <f>'New Rental Housing'!O25+'New Rental Housing'!O55+'New Rental Housing'!O85+'New Rental Housing'!O115+'New Rental Housing'!O145+'New Rental Housing'!O175+'New Rental Housing'!O205+'New Rental Housing'!O235+'New Rental Housing'!O265</f>
        <v>0</v>
      </c>
      <c r="L23">
        <f>'New Rental Housing'!P25+'New Rental Housing'!P55+'New Rental Housing'!P85+'New Rental Housing'!P115+'New Rental Housing'!P145+'New Rental Housing'!P175+'New Rental Housing'!P205+'New Rental Housing'!P235+'New Rental Housing'!P265</f>
        <v>0</v>
      </c>
      <c r="M23">
        <f t="shared" si="2"/>
        <v>83</v>
      </c>
      <c r="N23">
        <f t="shared" si="3"/>
        <v>10</v>
      </c>
    </row>
    <row r="24" spans="1:14" ht="15.5" x14ac:dyDescent="0.35">
      <c r="A24" s="2">
        <v>46113</v>
      </c>
      <c r="B24">
        <f>'New Single Family Housing'!T27+'New Single Family Housing'!AD57+'New Single Family Housing'!AD87+'New Single Family Housing'!AD117+'New Single Family Housing'!AD147+'New Single Family Housing'!T177+'New Single Family Housing'!T207+'New Single Family Housing'!T237+'New Single Family Housing'!T267+'New Single Family Housing'!AD297</f>
        <v>40</v>
      </c>
      <c r="C24">
        <f>'New Single Family Housing'!U27+'New Single Family Housing'!AE57+'New Single Family Housing'!AE87+'New Single Family Housing'!AE117+'New Single Family Housing'!AE147+'New Single Family Housing'!U177+'New Single Family Housing'!U207+'New Single Family Housing'!U237+'New Single Family Housing'!U267+'New Single Family Housing'!AE297</f>
        <v>0</v>
      </c>
      <c r="D24">
        <f t="shared" si="0"/>
        <v>124</v>
      </c>
      <c r="E24">
        <f t="shared" si="1"/>
        <v>22</v>
      </c>
      <c r="J24" s="2">
        <v>46113</v>
      </c>
      <c r="K24">
        <f>'New Rental Housing'!O26+'New Rental Housing'!O56+'New Rental Housing'!O86+'New Rental Housing'!O116+'New Rental Housing'!O146+'New Rental Housing'!O176+'New Rental Housing'!O206+'New Rental Housing'!O236+'New Rental Housing'!O266</f>
        <v>0</v>
      </c>
      <c r="L24">
        <f>'New Rental Housing'!P26+'New Rental Housing'!P56+'New Rental Housing'!P86+'New Rental Housing'!P116+'New Rental Housing'!P146+'New Rental Housing'!P176+'New Rental Housing'!P206+'New Rental Housing'!P236+'New Rental Housing'!P266</f>
        <v>0</v>
      </c>
      <c r="M24">
        <f t="shared" si="2"/>
        <v>83</v>
      </c>
      <c r="N24">
        <f t="shared" si="3"/>
        <v>10</v>
      </c>
    </row>
    <row r="25" spans="1:14" ht="15.5" x14ac:dyDescent="0.35">
      <c r="A25" s="2">
        <v>46204</v>
      </c>
      <c r="B25">
        <f>'New Single Family Housing'!T28+'New Single Family Housing'!AD58+'New Single Family Housing'!AD88+'New Single Family Housing'!AD118+'New Single Family Housing'!AD148+'New Single Family Housing'!T178+'New Single Family Housing'!T208+'New Single Family Housing'!T238+'New Single Family Housing'!T268+'New Single Family Housing'!AD298</f>
        <v>0</v>
      </c>
      <c r="C25">
        <f>'New Single Family Housing'!U28+'New Single Family Housing'!AE58+'New Single Family Housing'!AE88+'New Single Family Housing'!AE118+'New Single Family Housing'!AE148+'New Single Family Housing'!U178+'New Single Family Housing'!U208+'New Single Family Housing'!U238+'New Single Family Housing'!U268+'New Single Family Housing'!AE298</f>
        <v>0</v>
      </c>
      <c r="D25">
        <f t="shared" si="0"/>
        <v>124</v>
      </c>
      <c r="E25">
        <f>E24+C25</f>
        <v>22</v>
      </c>
      <c r="J25" s="2">
        <v>46204</v>
      </c>
      <c r="K25">
        <f>'New Rental Housing'!O27+'New Rental Housing'!O57+'New Rental Housing'!O87+'New Rental Housing'!O117+'New Rental Housing'!O147+'New Rental Housing'!O177+'New Rental Housing'!O207+'New Rental Housing'!O237+'New Rental Housing'!O267</f>
        <v>0</v>
      </c>
      <c r="L25">
        <f>'New Rental Housing'!P27+'New Rental Housing'!P57+'New Rental Housing'!P87+'New Rental Housing'!P117+'New Rental Housing'!P147+'New Rental Housing'!P177+'New Rental Housing'!P207+'New Rental Housing'!P237+'New Rental Housing'!P267</f>
        <v>0</v>
      </c>
      <c r="M25">
        <f t="shared" si="2"/>
        <v>83</v>
      </c>
      <c r="N25">
        <f t="shared" si="3"/>
        <v>10</v>
      </c>
    </row>
    <row r="27" spans="1:14" ht="29" x14ac:dyDescent="0.35">
      <c r="A27" s="62" t="s">
        <v>59</v>
      </c>
      <c r="B27" s="55" t="s">
        <v>39</v>
      </c>
      <c r="C27" s="56" t="s">
        <v>32</v>
      </c>
      <c r="D27" s="56" t="s">
        <v>40</v>
      </c>
      <c r="E27" s="56" t="s">
        <v>33</v>
      </c>
      <c r="J27" s="62" t="s">
        <v>60</v>
      </c>
      <c r="K27" s="55" t="s">
        <v>39</v>
      </c>
      <c r="L27" s="56" t="s">
        <v>32</v>
      </c>
      <c r="M27" s="56" t="s">
        <v>40</v>
      </c>
      <c r="N27" s="56" t="s">
        <v>33</v>
      </c>
    </row>
    <row r="28" spans="1:14" ht="15.5" x14ac:dyDescent="0.35">
      <c r="A28" s="65">
        <v>44105</v>
      </c>
      <c r="B28" s="112">
        <f>Buyouts!O4+Buyouts!O34+Buyouts!O64+Buyouts!O94+Buyouts!O125+Buyouts!O155+Buyouts!O185+Buyouts!O215+Buyouts!O245+Buyouts!O275+Buyouts!O305+Buyouts!O335</f>
        <v>0</v>
      </c>
      <c r="C28" s="112">
        <f>Buyouts!P4+Buyouts!P34+Buyouts!P64+Buyouts!P94+Buyouts!P125+Buyouts!P155+Buyouts!P185+Buyouts!P215+Buyouts!P245+Buyouts!P275+Buyouts!P305+Buyouts!P335</f>
        <v>0</v>
      </c>
      <c r="D28" s="112">
        <f>B28</f>
        <v>0</v>
      </c>
      <c r="E28" s="112">
        <f>C28</f>
        <v>0</v>
      </c>
      <c r="J28" s="65">
        <v>44105</v>
      </c>
      <c r="K28" s="112">
        <f>'Stormwater Infrastructure'!O4+'Stormwater Infrastructure'!O34+'Stormwater Infrastructure'!O64+'Stormwater Infrastructure'!O94</f>
        <v>0</v>
      </c>
      <c r="L28" s="112">
        <f>'Stormwater Infrastructure'!P4+'Stormwater Infrastructure'!P34+'Stormwater Infrastructure'!P64+'Stormwater Infrastructure'!P94</f>
        <v>0</v>
      </c>
      <c r="M28" s="112">
        <f>K28</f>
        <v>0</v>
      </c>
      <c r="N28" s="112">
        <f>L28</f>
        <v>0</v>
      </c>
    </row>
    <row r="29" spans="1:14" ht="15.5" x14ac:dyDescent="0.35">
      <c r="A29" s="65">
        <v>44197</v>
      </c>
      <c r="B29" s="112">
        <f>Buyouts!O5+Buyouts!O35+Buyouts!O65+Buyouts!O95+Buyouts!O126+Buyouts!O156+Buyouts!O186+Buyouts!O216+Buyouts!O246+Buyouts!O276+Buyouts!O306+Buyouts!O336</f>
        <v>0</v>
      </c>
      <c r="C29" s="112">
        <f>Buyouts!P5+Buyouts!P35+Buyouts!P65+Buyouts!P95+Buyouts!P126+Buyouts!P156+Buyouts!P186+Buyouts!P216+Buyouts!P246+Buyouts!P276+Buyouts!P306+Buyouts!P336</f>
        <v>0</v>
      </c>
      <c r="D29" s="112">
        <f>D28+B29</f>
        <v>0</v>
      </c>
      <c r="E29" s="112">
        <f>E28+C29</f>
        <v>0</v>
      </c>
      <c r="J29" s="65">
        <v>44197</v>
      </c>
      <c r="K29" s="112">
        <f>'Stormwater Infrastructure'!O5+'Stormwater Infrastructure'!O35+'Stormwater Infrastructure'!O65+'Stormwater Infrastructure'!O95</f>
        <v>0</v>
      </c>
      <c r="L29" s="112">
        <f>'Stormwater Infrastructure'!P5+'Stormwater Infrastructure'!P35+'Stormwater Infrastructure'!P65+'Stormwater Infrastructure'!P95</f>
        <v>0</v>
      </c>
      <c r="M29" s="112">
        <f>M28+K29</f>
        <v>0</v>
      </c>
      <c r="N29" s="112">
        <f>N28+L29</f>
        <v>0</v>
      </c>
    </row>
    <row r="30" spans="1:14" ht="15.5" x14ac:dyDescent="0.35">
      <c r="A30" s="65">
        <v>44287</v>
      </c>
      <c r="B30" s="112">
        <f>Buyouts!O6+Buyouts!O36+Buyouts!O66+Buyouts!O96+Buyouts!O127+Buyouts!O157+Buyouts!O187+Buyouts!O217+Buyouts!O247+Buyouts!O277+Buyouts!O307+Buyouts!O337</f>
        <v>32</v>
      </c>
      <c r="C30" s="112">
        <f>Buyouts!P6+Buyouts!P36+Buyouts!P66+Buyouts!P96+Buyouts!P127+Buyouts!P157+Buyouts!P187+Buyouts!P217+Buyouts!P247+Buyouts!P277+Buyouts!P307+Buyouts!P337</f>
        <v>0</v>
      </c>
      <c r="D30" s="112">
        <f t="shared" ref="D30:D51" si="4">D29+B30</f>
        <v>32</v>
      </c>
      <c r="E30" s="112">
        <f t="shared" ref="E30:E51" si="5">E29+C30</f>
        <v>0</v>
      </c>
      <c r="J30" s="65">
        <v>44287</v>
      </c>
      <c r="K30" s="112">
        <f>'Stormwater Infrastructure'!O6+'Stormwater Infrastructure'!O36+'Stormwater Infrastructure'!O66+'Stormwater Infrastructure'!O96</f>
        <v>0</v>
      </c>
      <c r="L30" s="112">
        <f>'Stormwater Infrastructure'!P6+'Stormwater Infrastructure'!P36+'Stormwater Infrastructure'!P66+'Stormwater Infrastructure'!P96</f>
        <v>0</v>
      </c>
      <c r="M30" s="112">
        <f t="shared" ref="M30:M51" si="6">M29+K30</f>
        <v>0</v>
      </c>
      <c r="N30" s="112">
        <f t="shared" ref="N30:N51" si="7">N29+L30</f>
        <v>0</v>
      </c>
    </row>
    <row r="31" spans="1:14" ht="15.5" x14ac:dyDescent="0.35">
      <c r="A31" s="65">
        <v>44378</v>
      </c>
      <c r="B31" s="112">
        <f>Buyouts!O7+Buyouts!O37+Buyouts!O67+Buyouts!O97+Buyouts!O128+Buyouts!O158+Buyouts!O188+Buyouts!O218+Buyouts!O248+Buyouts!O278+Buyouts!O308+Buyouts!O338</f>
        <v>28</v>
      </c>
      <c r="C31" s="112">
        <f>Buyouts!P7+Buyouts!P37+Buyouts!P67+Buyouts!P97+Buyouts!P128+Buyouts!P158+Buyouts!P188+Buyouts!P218+Buyouts!P248+Buyouts!P278+Buyouts!P308+Buyouts!P338</f>
        <v>111</v>
      </c>
      <c r="D31" s="112">
        <f t="shared" si="4"/>
        <v>60</v>
      </c>
      <c r="E31" s="112">
        <f t="shared" si="5"/>
        <v>111</v>
      </c>
      <c r="J31" s="65">
        <v>44378</v>
      </c>
      <c r="K31" s="112">
        <f>'Stormwater Infrastructure'!O7+'Stormwater Infrastructure'!O37+'Stormwater Infrastructure'!O67+'Stormwater Infrastructure'!O97</f>
        <v>0</v>
      </c>
      <c r="L31" s="112">
        <f>'Stormwater Infrastructure'!P7+'Stormwater Infrastructure'!P37+'Stormwater Infrastructure'!P67+'Stormwater Infrastructure'!P97</f>
        <v>0</v>
      </c>
      <c r="M31" s="112">
        <f t="shared" si="6"/>
        <v>0</v>
      </c>
      <c r="N31" s="112">
        <f t="shared" si="7"/>
        <v>0</v>
      </c>
    </row>
    <row r="32" spans="1:14" ht="15.5" x14ac:dyDescent="0.35">
      <c r="A32" s="65">
        <v>44470</v>
      </c>
      <c r="B32" s="112">
        <f>Buyouts!O8+Buyouts!O38+Buyouts!O68+Buyouts!O98+Buyouts!O129+Buyouts!O159+Buyouts!O189+Buyouts!O219+Buyouts!O249+Buyouts!O279+Buyouts!O309+Buyouts!O339</f>
        <v>27</v>
      </c>
      <c r="C32" s="112">
        <f>Buyouts!P8+Buyouts!P38+Buyouts!P68+Buyouts!P98+Buyouts!P129+Buyouts!P159+Buyouts!P189+Buyouts!P219+Buyouts!P249+Buyouts!P279+Buyouts!P309+Buyouts!P339</f>
        <v>46</v>
      </c>
      <c r="D32" s="112">
        <f t="shared" si="4"/>
        <v>87</v>
      </c>
      <c r="E32" s="112">
        <f t="shared" si="5"/>
        <v>157</v>
      </c>
      <c r="J32" s="65">
        <v>44470</v>
      </c>
      <c r="K32" s="112">
        <f>'Stormwater Infrastructure'!O8+'Stormwater Infrastructure'!O38+'Stormwater Infrastructure'!O68+'Stormwater Infrastructure'!O98</f>
        <v>0</v>
      </c>
      <c r="L32" s="112">
        <f>'Stormwater Infrastructure'!P8+'Stormwater Infrastructure'!P38+'Stormwater Infrastructure'!P68+'Stormwater Infrastructure'!P98</f>
        <v>0</v>
      </c>
      <c r="M32" s="112">
        <f t="shared" si="6"/>
        <v>0</v>
      </c>
      <c r="N32" s="112">
        <f t="shared" si="7"/>
        <v>0</v>
      </c>
    </row>
    <row r="33" spans="1:14" ht="15.5" x14ac:dyDescent="0.35">
      <c r="A33" s="65">
        <v>44562</v>
      </c>
      <c r="B33" s="112">
        <f>Buyouts!O9+Buyouts!O39+Buyouts!O69+Buyouts!O99+Buyouts!O130+Buyouts!O160+Buyouts!O190+Buyouts!O220+Buyouts!O250+Buyouts!O280+Buyouts!O310+Buyouts!O340</f>
        <v>29</v>
      </c>
      <c r="C33" s="112">
        <f>Buyouts!P9+Buyouts!P39+Buyouts!P69+Buyouts!P99+Buyouts!P130+Buyouts!P160+Buyouts!P190+Buyouts!P220+Buyouts!P250+Buyouts!P280+Buyouts!P310+Buyouts!P340</f>
        <v>24</v>
      </c>
      <c r="D33" s="112">
        <f t="shared" si="4"/>
        <v>116</v>
      </c>
      <c r="E33" s="112">
        <f t="shared" si="5"/>
        <v>181</v>
      </c>
      <c r="J33" s="65">
        <v>44562</v>
      </c>
      <c r="K33" s="112">
        <f>'Stormwater Infrastructure'!O9+'Stormwater Infrastructure'!O39+'Stormwater Infrastructure'!O69+'Stormwater Infrastructure'!O99</f>
        <v>2838</v>
      </c>
      <c r="L33" s="112">
        <f>'Stormwater Infrastructure'!P9+'Stormwater Infrastructure'!P39+'Stormwater Infrastructure'!P69+'Stormwater Infrastructure'!P99</f>
        <v>2838</v>
      </c>
      <c r="M33" s="112">
        <f t="shared" si="6"/>
        <v>2838</v>
      </c>
      <c r="N33" s="112">
        <f t="shared" si="7"/>
        <v>2838</v>
      </c>
    </row>
    <row r="34" spans="1:14" ht="15.5" x14ac:dyDescent="0.35">
      <c r="A34" s="65">
        <v>44652</v>
      </c>
      <c r="B34" s="112">
        <f>Buyouts!O10+Buyouts!O40+Buyouts!O70+Buyouts!O100+Buyouts!O131+Buyouts!O161+Buyouts!O191+Buyouts!O221+Buyouts!O251+Buyouts!O281+Buyouts!O311+Buyouts!O341</f>
        <v>27</v>
      </c>
      <c r="C34" s="112">
        <f>Buyouts!P10+Buyouts!P40+Buyouts!P70+Buyouts!P100+Buyouts!P131+Buyouts!P161+Buyouts!P191+Buyouts!P221+Buyouts!P251+Buyouts!P281+Buyouts!P311+Buyouts!P341</f>
        <v>3</v>
      </c>
      <c r="D34" s="112">
        <f t="shared" si="4"/>
        <v>143</v>
      </c>
      <c r="E34" s="112">
        <f t="shared" si="5"/>
        <v>184</v>
      </c>
      <c r="J34" s="65">
        <v>44652</v>
      </c>
      <c r="K34" s="112">
        <f>'Stormwater Infrastructure'!O10+'Stormwater Infrastructure'!O40+'Stormwater Infrastructure'!O70+'Stormwater Infrastructure'!O100</f>
        <v>0</v>
      </c>
      <c r="L34" s="112">
        <f>'Stormwater Infrastructure'!P10+'Stormwater Infrastructure'!P40+'Stormwater Infrastructure'!P70+'Stormwater Infrastructure'!P100</f>
        <v>0</v>
      </c>
      <c r="M34" s="112">
        <f t="shared" si="6"/>
        <v>2838</v>
      </c>
      <c r="N34" s="112">
        <f t="shared" si="7"/>
        <v>2838</v>
      </c>
    </row>
    <row r="35" spans="1:14" ht="15.5" x14ac:dyDescent="0.35">
      <c r="A35" s="65">
        <v>44743</v>
      </c>
      <c r="B35" s="112">
        <f>Buyouts!O11+Buyouts!O41+Buyouts!O71+Buyouts!O101+Buyouts!O132+Buyouts!O162+Buyouts!O192+Buyouts!O222+Buyouts!O252+Buyouts!O282+Buyouts!O312+Buyouts!O342</f>
        <v>26</v>
      </c>
      <c r="C35" s="112">
        <f>Buyouts!P11+Buyouts!P41+Buyouts!P71+Buyouts!P101+Buyouts!P132+Buyouts!P162+Buyouts!P192+Buyouts!P222+Buyouts!P252+Buyouts!P282+Buyouts!P312+Buyouts!P342</f>
        <v>6</v>
      </c>
      <c r="D35" s="112">
        <f t="shared" si="4"/>
        <v>169</v>
      </c>
      <c r="E35" s="112">
        <f t="shared" si="5"/>
        <v>190</v>
      </c>
      <c r="J35" s="65">
        <v>44743</v>
      </c>
      <c r="K35" s="112">
        <f>'Stormwater Infrastructure'!O11+'Stormwater Infrastructure'!O41+'Stormwater Infrastructure'!O71+'Stormwater Infrastructure'!O101</f>
        <v>0</v>
      </c>
      <c r="L35" s="112">
        <f>'Stormwater Infrastructure'!P11+'Stormwater Infrastructure'!P41+'Stormwater Infrastructure'!P71+'Stormwater Infrastructure'!P101</f>
        <v>0</v>
      </c>
      <c r="M35" s="112">
        <f t="shared" si="6"/>
        <v>2838</v>
      </c>
      <c r="N35" s="112">
        <f t="shared" si="7"/>
        <v>2838</v>
      </c>
    </row>
    <row r="36" spans="1:14" ht="15.5" x14ac:dyDescent="0.35">
      <c r="A36" s="65">
        <v>44835</v>
      </c>
      <c r="B36" s="112">
        <f>Buyouts!O12+Buyouts!O42+Buyouts!O72+Buyouts!O102+Buyouts!O133+Buyouts!O163+Buyouts!O193+Buyouts!O223+Buyouts!O253+Buyouts!O283+Buyouts!O313+Buyouts!O343</f>
        <v>23</v>
      </c>
      <c r="C36" s="112">
        <f>Buyouts!P12+Buyouts!P42+Buyouts!P72+Buyouts!P102+Buyouts!P133+Buyouts!P163+Buyouts!P193+Buyouts!P223+Buyouts!P253+Buyouts!P283+Buyouts!P313+Buyouts!P343</f>
        <v>1</v>
      </c>
      <c r="D36" s="112">
        <f t="shared" si="4"/>
        <v>192</v>
      </c>
      <c r="E36" s="112">
        <f t="shared" si="5"/>
        <v>191</v>
      </c>
      <c r="J36" s="65">
        <v>44835</v>
      </c>
      <c r="K36" s="112">
        <f>'Stormwater Infrastructure'!O12+'Stormwater Infrastructure'!O42+'Stormwater Infrastructure'!O72+'Stormwater Infrastructure'!O102</f>
        <v>0</v>
      </c>
      <c r="L36" s="112">
        <f>'Stormwater Infrastructure'!P12+'Stormwater Infrastructure'!P42+'Stormwater Infrastructure'!P72+'Stormwater Infrastructure'!P102</f>
        <v>0</v>
      </c>
      <c r="M36" s="112">
        <f t="shared" si="6"/>
        <v>2838</v>
      </c>
      <c r="N36" s="112">
        <f t="shared" si="7"/>
        <v>2838</v>
      </c>
    </row>
    <row r="37" spans="1:14" ht="15.5" x14ac:dyDescent="0.35">
      <c r="A37" s="65">
        <v>44927</v>
      </c>
      <c r="B37" s="112">
        <f>Buyouts!O13+Buyouts!O43+Buyouts!O73+Buyouts!O103+Buyouts!O134+Buyouts!O164+Buyouts!O194+Buyouts!O224+Buyouts!O254+Buyouts!O284+Buyouts!O314+Buyouts!O344</f>
        <v>22</v>
      </c>
      <c r="C37" s="112">
        <f>Buyouts!P13+Buyouts!P43+Buyouts!P73+Buyouts!P103+Buyouts!P134+Buyouts!P164+Buyouts!P194+Buyouts!P224+Buyouts!P254+Buyouts!P284+Buyouts!P314+Buyouts!P344</f>
        <v>1</v>
      </c>
      <c r="D37" s="112">
        <f t="shared" si="4"/>
        <v>214</v>
      </c>
      <c r="E37" s="112">
        <f t="shared" si="5"/>
        <v>192</v>
      </c>
      <c r="J37" s="65">
        <v>44927</v>
      </c>
      <c r="K37" s="112">
        <f>'Stormwater Infrastructure'!O13+'Stormwater Infrastructure'!O43+'Stormwater Infrastructure'!O73+'Stormwater Infrastructure'!O103</f>
        <v>1187</v>
      </c>
      <c r="L37" s="112">
        <f>'Stormwater Infrastructure'!P13+'Stormwater Infrastructure'!P43+'Stormwater Infrastructure'!P73+'Stormwater Infrastructure'!P103</f>
        <v>1187</v>
      </c>
      <c r="M37" s="112">
        <f t="shared" si="6"/>
        <v>4025</v>
      </c>
      <c r="N37" s="112">
        <f t="shared" si="7"/>
        <v>4025</v>
      </c>
    </row>
    <row r="38" spans="1:14" ht="15.5" x14ac:dyDescent="0.35">
      <c r="A38" s="65">
        <v>45017</v>
      </c>
      <c r="B38" s="112">
        <f>Buyouts!O14+Buyouts!O44+Buyouts!O74+Buyouts!O104+Buyouts!O135+Buyouts!O165+Buyouts!O195+Buyouts!O225+Buyouts!O255+Buyouts!O285+Buyouts!O315+Buyouts!O345</f>
        <v>12</v>
      </c>
      <c r="C38" s="112">
        <f>Buyouts!P14+Buyouts!P44+Buyouts!P74+Buyouts!P104+Buyouts!P135+Buyouts!P165+Buyouts!P195+Buyouts!P225+Buyouts!P255+Buyouts!P285+Buyouts!P315+Buyouts!P345</f>
        <v>3</v>
      </c>
      <c r="D38" s="112">
        <f t="shared" si="4"/>
        <v>226</v>
      </c>
      <c r="E38" s="112">
        <f t="shared" si="5"/>
        <v>195</v>
      </c>
      <c r="J38" s="65">
        <v>45017</v>
      </c>
      <c r="K38" s="112">
        <f>'Stormwater Infrastructure'!O14+'Stormwater Infrastructure'!O44+'Stormwater Infrastructure'!O74+'Stormwater Infrastructure'!O104</f>
        <v>0</v>
      </c>
      <c r="L38" s="112">
        <f>'Stormwater Infrastructure'!P14+'Stormwater Infrastructure'!P44+'Stormwater Infrastructure'!P74+'Stormwater Infrastructure'!P104</f>
        <v>0</v>
      </c>
      <c r="M38" s="112">
        <f t="shared" si="6"/>
        <v>4025</v>
      </c>
      <c r="N38" s="112">
        <f t="shared" si="7"/>
        <v>4025</v>
      </c>
    </row>
    <row r="39" spans="1:14" ht="15.5" x14ac:dyDescent="0.35">
      <c r="A39" s="65">
        <v>45108</v>
      </c>
      <c r="B39" s="112">
        <f>Buyouts!O15+Buyouts!O45+Buyouts!O75+Buyouts!O105+Buyouts!O136+Buyouts!O166+Buyouts!O196+Buyouts!O226+Buyouts!O256+Buyouts!O286+Buyouts!O316+Buyouts!O346</f>
        <v>11</v>
      </c>
      <c r="C39" s="112">
        <f>Buyouts!P15+Buyouts!P45+Buyouts!P75+Buyouts!P105+Buyouts!P136+Buyouts!P166+Buyouts!P196+Buyouts!P226+Buyouts!P256+Buyouts!P286+Buyouts!P316+Buyouts!P346</f>
        <v>0</v>
      </c>
      <c r="D39" s="112">
        <f t="shared" si="4"/>
        <v>237</v>
      </c>
      <c r="E39" s="112">
        <f t="shared" si="5"/>
        <v>195</v>
      </c>
      <c r="J39" s="65">
        <v>45108</v>
      </c>
      <c r="K39" s="112">
        <f>'Stormwater Infrastructure'!O15+'Stormwater Infrastructure'!O45+'Stormwater Infrastructure'!O75+'Stormwater Infrastructure'!O105</f>
        <v>0</v>
      </c>
      <c r="L39" s="112">
        <f>'Stormwater Infrastructure'!P15+'Stormwater Infrastructure'!P45+'Stormwater Infrastructure'!P75+'Stormwater Infrastructure'!P105</f>
        <v>0</v>
      </c>
      <c r="M39" s="112">
        <f t="shared" si="6"/>
        <v>4025</v>
      </c>
      <c r="N39" s="112">
        <f t="shared" si="7"/>
        <v>4025</v>
      </c>
    </row>
    <row r="40" spans="1:14" ht="15.5" x14ac:dyDescent="0.35">
      <c r="A40" s="65">
        <v>45200</v>
      </c>
      <c r="B40" s="112">
        <f>Buyouts!O16+Buyouts!O46+Buyouts!O76+Buyouts!O106+Buyouts!O137+Buyouts!O167+Buyouts!O197+Buyouts!O227+Buyouts!O257+Buyouts!O287+Buyouts!O317+Buyouts!O347</f>
        <v>7</v>
      </c>
      <c r="C40" s="112">
        <f>Buyouts!P16+Buyouts!P46+Buyouts!P76+Buyouts!P106+Buyouts!P137+Buyouts!P167+Buyouts!P197+Buyouts!P227+Buyouts!P257+Buyouts!P287+Buyouts!P317+Buyouts!P347</f>
        <v>0</v>
      </c>
      <c r="D40" s="112">
        <f t="shared" si="4"/>
        <v>244</v>
      </c>
      <c r="E40" s="112">
        <f t="shared" si="5"/>
        <v>195</v>
      </c>
      <c r="J40" s="65">
        <v>45200</v>
      </c>
      <c r="K40" s="112">
        <f>'Stormwater Infrastructure'!O16+'Stormwater Infrastructure'!O46+'Stormwater Infrastructure'!O76+'Stormwater Infrastructure'!O106</f>
        <v>0</v>
      </c>
      <c r="L40" s="112">
        <f>'Stormwater Infrastructure'!P16+'Stormwater Infrastructure'!P46+'Stormwater Infrastructure'!P76+'Stormwater Infrastructure'!P106</f>
        <v>0</v>
      </c>
      <c r="M40" s="112">
        <f t="shared" si="6"/>
        <v>4025</v>
      </c>
      <c r="N40" s="112">
        <f t="shared" si="7"/>
        <v>4025</v>
      </c>
    </row>
    <row r="41" spans="1:14" ht="15.5" x14ac:dyDescent="0.35">
      <c r="A41" s="65">
        <v>45292</v>
      </c>
      <c r="B41" s="112">
        <f>Buyouts!O17+Buyouts!O47+Buyouts!O77+Buyouts!O107+Buyouts!O138+Buyouts!O168+Buyouts!O198+Buyouts!O228+Buyouts!O258+Buyouts!O288+Buyouts!O318+Buyouts!O348</f>
        <v>0</v>
      </c>
      <c r="C41" s="112">
        <f>Buyouts!P17+Buyouts!P47+Buyouts!P77+Buyouts!P107+Buyouts!P138+Buyouts!P168+Buyouts!P198+Buyouts!P228+Buyouts!P258+Buyouts!P288+Buyouts!P318+Buyouts!P348</f>
        <v>0</v>
      </c>
      <c r="D41" s="112">
        <f t="shared" si="4"/>
        <v>244</v>
      </c>
      <c r="E41" s="112">
        <f t="shared" si="5"/>
        <v>195</v>
      </c>
      <c r="J41" s="65">
        <v>45292</v>
      </c>
      <c r="K41" s="112">
        <f>'Stormwater Infrastructure'!O17+'Stormwater Infrastructure'!O47+'Stormwater Infrastructure'!O77+'Stormwater Infrastructure'!O107</f>
        <v>0</v>
      </c>
      <c r="L41" s="112">
        <f>'Stormwater Infrastructure'!P17+'Stormwater Infrastructure'!P47+'Stormwater Infrastructure'!P77+'Stormwater Infrastructure'!P107</f>
        <v>0</v>
      </c>
      <c r="M41" s="112">
        <f t="shared" si="6"/>
        <v>4025</v>
      </c>
      <c r="N41" s="112">
        <f t="shared" si="7"/>
        <v>4025</v>
      </c>
    </row>
    <row r="42" spans="1:14" ht="15.5" x14ac:dyDescent="0.35">
      <c r="A42" s="65">
        <v>45383</v>
      </c>
      <c r="B42" s="112">
        <f>Buyouts!O18+Buyouts!O48+Buyouts!O78+Buyouts!O108+Buyouts!O139+Buyouts!O169+Buyouts!O199+Buyouts!O229+Buyouts!O259+Buyouts!O289+Buyouts!O319+Buyouts!O349</f>
        <v>0</v>
      </c>
      <c r="C42" s="112">
        <f>Buyouts!P18+Buyouts!P48+Buyouts!P78+Buyouts!P108+Buyouts!P139+Buyouts!P169+Buyouts!P199+Buyouts!P229+Buyouts!P259+Buyouts!P289+Buyouts!P319+Buyouts!P349</f>
        <v>0</v>
      </c>
      <c r="D42" s="112">
        <f t="shared" si="4"/>
        <v>244</v>
      </c>
      <c r="E42" s="112">
        <f t="shared" si="5"/>
        <v>195</v>
      </c>
      <c r="J42" s="65">
        <v>45383</v>
      </c>
      <c r="K42" s="112">
        <f>'Stormwater Infrastructure'!O18+'Stormwater Infrastructure'!O48+'Stormwater Infrastructure'!O78+'Stormwater Infrastructure'!O108</f>
        <v>283</v>
      </c>
      <c r="L42" s="112">
        <f>'Stormwater Infrastructure'!P18+'Stormwater Infrastructure'!P48+'Stormwater Infrastructure'!P78+'Stormwater Infrastructure'!P108</f>
        <v>238</v>
      </c>
      <c r="M42" s="112">
        <f t="shared" si="6"/>
        <v>4308</v>
      </c>
      <c r="N42" s="112">
        <f t="shared" si="7"/>
        <v>4263</v>
      </c>
    </row>
    <row r="43" spans="1:14" ht="15.5" x14ac:dyDescent="0.35">
      <c r="A43" s="65">
        <v>45474</v>
      </c>
      <c r="B43" s="112">
        <f>Buyouts!O19+Buyouts!O49+Buyouts!O79+Buyouts!O109+Buyouts!O140+Buyouts!O170+Buyouts!O200+Buyouts!O230+Buyouts!O260+Buyouts!O290+Buyouts!O320+Buyouts!O350</f>
        <v>0</v>
      </c>
      <c r="C43" s="112">
        <f>Buyouts!P19+Buyouts!P49+Buyouts!P79+Buyouts!P109+Buyouts!P140+Buyouts!P170+Buyouts!P200+Buyouts!P230+Buyouts!P260+Buyouts!P290+Buyouts!P320+Buyouts!P350</f>
        <v>0</v>
      </c>
      <c r="D43" s="112">
        <f t="shared" si="4"/>
        <v>244</v>
      </c>
      <c r="E43" s="112">
        <f t="shared" si="5"/>
        <v>195</v>
      </c>
      <c r="J43" s="65">
        <v>45474</v>
      </c>
      <c r="K43" s="112">
        <f>'Stormwater Infrastructure'!O19+'Stormwater Infrastructure'!O49+'Stormwater Infrastructure'!O79+'Stormwater Infrastructure'!O109</f>
        <v>0</v>
      </c>
      <c r="L43" s="112">
        <f>'Stormwater Infrastructure'!P19+'Stormwater Infrastructure'!P49+'Stormwater Infrastructure'!P79+'Stormwater Infrastructure'!P109</f>
        <v>0</v>
      </c>
      <c r="M43" s="112">
        <f t="shared" si="6"/>
        <v>4308</v>
      </c>
      <c r="N43" s="112">
        <f t="shared" si="7"/>
        <v>4263</v>
      </c>
    </row>
    <row r="44" spans="1:14" ht="15.5" x14ac:dyDescent="0.35">
      <c r="A44" s="2">
        <v>45566</v>
      </c>
      <c r="B44">
        <f>Buyouts!O20+Buyouts!O50+Buyouts!O80+Buyouts!O110+Buyouts!O141+Buyouts!O171+Buyouts!O201+Buyouts!O231+Buyouts!O261+Buyouts!O291+Buyouts!O321+Buyouts!O351</f>
        <v>0</v>
      </c>
      <c r="C44">
        <f>Buyouts!P20+Buyouts!P50+Buyouts!P80+Buyouts!P110+Buyouts!P141+Buyouts!P171+Buyouts!P201+Buyouts!P231+Buyouts!P261+Buyouts!P291+Buyouts!P321+Buyouts!P351</f>
        <v>0</v>
      </c>
      <c r="D44">
        <f t="shared" si="4"/>
        <v>244</v>
      </c>
      <c r="E44">
        <f t="shared" si="5"/>
        <v>195</v>
      </c>
      <c r="J44" s="2">
        <v>45566</v>
      </c>
      <c r="K44">
        <f>'Stormwater Infrastructure'!O20+'Stormwater Infrastructure'!O50+'Stormwater Infrastructure'!O80+'Stormwater Infrastructure'!O110</f>
        <v>0</v>
      </c>
      <c r="L44">
        <f>'Stormwater Infrastructure'!P20+'Stormwater Infrastructure'!P50+'Stormwater Infrastructure'!P80+'Stormwater Infrastructure'!P110</f>
        <v>0</v>
      </c>
      <c r="M44">
        <f t="shared" si="6"/>
        <v>4308</v>
      </c>
      <c r="N44">
        <f t="shared" si="7"/>
        <v>4263</v>
      </c>
    </row>
    <row r="45" spans="1:14" ht="15.5" x14ac:dyDescent="0.35">
      <c r="A45" s="2">
        <v>45658</v>
      </c>
      <c r="B45">
        <f>Buyouts!O21+Buyouts!O51+Buyouts!O81+Buyouts!O111+Buyouts!O142+Buyouts!O172+Buyouts!O202+Buyouts!O232+Buyouts!O262+Buyouts!O292+Buyouts!O322+Buyouts!O352</f>
        <v>0</v>
      </c>
      <c r="C45">
        <f>Buyouts!P21+Buyouts!P51+Buyouts!P81+Buyouts!P111+Buyouts!P142+Buyouts!P172+Buyouts!P202+Buyouts!P232+Buyouts!P262+Buyouts!P292+Buyouts!P322+Buyouts!P352</f>
        <v>0</v>
      </c>
      <c r="D45">
        <f t="shared" si="4"/>
        <v>244</v>
      </c>
      <c r="E45">
        <f t="shared" si="5"/>
        <v>195</v>
      </c>
      <c r="J45" s="2">
        <v>45658</v>
      </c>
      <c r="K45">
        <f>'Stormwater Infrastructure'!O21+'Stormwater Infrastructure'!O51+'Stormwater Infrastructure'!O81+'Stormwater Infrastructure'!O111</f>
        <v>0</v>
      </c>
      <c r="L45">
        <f>'Stormwater Infrastructure'!P21+'Stormwater Infrastructure'!P51+'Stormwater Infrastructure'!P81+'Stormwater Infrastructure'!P111</f>
        <v>0</v>
      </c>
      <c r="M45">
        <f t="shared" si="6"/>
        <v>4308</v>
      </c>
      <c r="N45">
        <f t="shared" si="7"/>
        <v>4263</v>
      </c>
    </row>
    <row r="46" spans="1:14" ht="15.5" x14ac:dyDescent="0.35">
      <c r="A46" s="2">
        <v>45748</v>
      </c>
      <c r="B46">
        <f>Buyouts!O22+Buyouts!O52+Buyouts!O82+Buyouts!O112+Buyouts!O143+Buyouts!O173+Buyouts!O203+Buyouts!O233+Buyouts!O263+Buyouts!O293+Buyouts!O323+Buyouts!O353</f>
        <v>0</v>
      </c>
      <c r="C46">
        <f>Buyouts!P22+Buyouts!P52+Buyouts!P82+Buyouts!P112+Buyouts!P143+Buyouts!P173+Buyouts!P203+Buyouts!P233+Buyouts!P263+Buyouts!P293+Buyouts!P323+Buyouts!P353</f>
        <v>0</v>
      </c>
      <c r="D46">
        <f t="shared" si="4"/>
        <v>244</v>
      </c>
      <c r="E46">
        <f t="shared" si="5"/>
        <v>195</v>
      </c>
      <c r="J46" s="2">
        <v>45748</v>
      </c>
      <c r="K46">
        <f>'Stormwater Infrastructure'!O22+'Stormwater Infrastructure'!O52+'Stormwater Infrastructure'!O82+'Stormwater Infrastructure'!O112</f>
        <v>0</v>
      </c>
      <c r="L46">
        <f>'Stormwater Infrastructure'!P22+'Stormwater Infrastructure'!P52+'Stormwater Infrastructure'!P82+'Stormwater Infrastructure'!P112</f>
        <v>0</v>
      </c>
      <c r="M46">
        <f t="shared" si="6"/>
        <v>4308</v>
      </c>
      <c r="N46">
        <f t="shared" si="7"/>
        <v>4263</v>
      </c>
    </row>
    <row r="47" spans="1:14" ht="15.5" x14ac:dyDescent="0.35">
      <c r="A47" s="2">
        <v>45839</v>
      </c>
      <c r="B47">
        <f>Buyouts!O23+Buyouts!O53+Buyouts!O83+Buyouts!O113+Buyouts!O144+Buyouts!O174+Buyouts!O204+Buyouts!O234+Buyouts!O264+Buyouts!O294+Buyouts!O324+Buyouts!O354</f>
        <v>0</v>
      </c>
      <c r="C47">
        <f>Buyouts!P23+Buyouts!P53+Buyouts!P83+Buyouts!P113+Buyouts!P144+Buyouts!P174+Buyouts!P204+Buyouts!P234+Buyouts!P264+Buyouts!P294+Buyouts!P324+Buyouts!P354</f>
        <v>0</v>
      </c>
      <c r="D47">
        <f t="shared" si="4"/>
        <v>244</v>
      </c>
      <c r="E47">
        <f t="shared" si="5"/>
        <v>195</v>
      </c>
      <c r="J47" s="2">
        <v>45839</v>
      </c>
      <c r="K47">
        <f>'Stormwater Infrastructure'!O23+'Stormwater Infrastructure'!O53+'Stormwater Infrastructure'!O83+'Stormwater Infrastructure'!O113</f>
        <v>0</v>
      </c>
      <c r="L47">
        <f>'Stormwater Infrastructure'!P23+'Stormwater Infrastructure'!P53+'Stormwater Infrastructure'!P83+'Stormwater Infrastructure'!P113</f>
        <v>0</v>
      </c>
      <c r="M47">
        <f t="shared" si="6"/>
        <v>4308</v>
      </c>
      <c r="N47">
        <f t="shared" si="7"/>
        <v>4263</v>
      </c>
    </row>
    <row r="48" spans="1:14" ht="15.5" x14ac:dyDescent="0.35">
      <c r="A48" s="2">
        <v>45931</v>
      </c>
      <c r="B48">
        <f>Buyouts!O24+Buyouts!O54+Buyouts!O84+Buyouts!O114+Buyouts!O145+Buyouts!O175+Buyouts!O205+Buyouts!O235+Buyouts!O265+Buyouts!O295+Buyouts!O325+Buyouts!O355</f>
        <v>0</v>
      </c>
      <c r="C48">
        <f>Buyouts!P24+Buyouts!P54+Buyouts!P84+Buyouts!P114+Buyouts!P145+Buyouts!P175+Buyouts!P205+Buyouts!P235+Buyouts!P265+Buyouts!P295+Buyouts!P325+Buyouts!P355</f>
        <v>0</v>
      </c>
      <c r="D48">
        <f t="shared" si="4"/>
        <v>244</v>
      </c>
      <c r="E48">
        <f t="shared" si="5"/>
        <v>195</v>
      </c>
      <c r="J48" s="2">
        <v>45931</v>
      </c>
      <c r="K48">
        <f>'Stormwater Infrastructure'!O24+'Stormwater Infrastructure'!O54+'Stormwater Infrastructure'!O84+'Stormwater Infrastructure'!O114</f>
        <v>96</v>
      </c>
      <c r="L48">
        <f>'Stormwater Infrastructure'!P24+'Stormwater Infrastructure'!P54+'Stormwater Infrastructure'!P84+'Stormwater Infrastructure'!P114</f>
        <v>0</v>
      </c>
      <c r="M48">
        <f t="shared" si="6"/>
        <v>4404</v>
      </c>
      <c r="N48">
        <f t="shared" si="7"/>
        <v>4263</v>
      </c>
    </row>
    <row r="49" spans="1:14" ht="15.5" x14ac:dyDescent="0.35">
      <c r="A49" s="2">
        <v>46023</v>
      </c>
      <c r="B49">
        <f>Buyouts!O25+Buyouts!O55+Buyouts!O85+Buyouts!O115+Buyouts!O146+Buyouts!O176+Buyouts!O206+Buyouts!O236+Buyouts!O266+Buyouts!O296+Buyouts!O326+Buyouts!O356</f>
        <v>0</v>
      </c>
      <c r="C49">
        <f>Buyouts!P25+Buyouts!P55+Buyouts!P85+Buyouts!P115+Buyouts!P146+Buyouts!P176+Buyouts!P206+Buyouts!P236+Buyouts!P266+Buyouts!P296+Buyouts!P326+Buyouts!P356</f>
        <v>0</v>
      </c>
      <c r="D49">
        <f t="shared" si="4"/>
        <v>244</v>
      </c>
      <c r="E49">
        <f t="shared" si="5"/>
        <v>195</v>
      </c>
      <c r="J49" s="2">
        <v>46023</v>
      </c>
      <c r="K49">
        <f>'Stormwater Infrastructure'!O25+'Stormwater Infrastructure'!O55+'Stormwater Infrastructure'!O85+'Stormwater Infrastructure'!O115</f>
        <v>0</v>
      </c>
      <c r="L49">
        <f>'Stormwater Infrastructure'!P25+'Stormwater Infrastructure'!P55+'Stormwater Infrastructure'!P85+'Stormwater Infrastructure'!P115</f>
        <v>0</v>
      </c>
      <c r="M49">
        <f t="shared" si="6"/>
        <v>4404</v>
      </c>
      <c r="N49">
        <f t="shared" si="7"/>
        <v>4263</v>
      </c>
    </row>
    <row r="50" spans="1:14" ht="15.5" x14ac:dyDescent="0.35">
      <c r="A50" s="2">
        <v>46113</v>
      </c>
      <c r="B50">
        <f>Buyouts!O26+Buyouts!O56+Buyouts!O86+Buyouts!O116+Buyouts!O147+Buyouts!O177+Buyouts!O207+Buyouts!O237+Buyouts!O267+Buyouts!O297+Buyouts!O327+Buyouts!O357</f>
        <v>0</v>
      </c>
      <c r="C50">
        <f>Buyouts!P26+Buyouts!P56+Buyouts!P86+Buyouts!P116+Buyouts!P147+Buyouts!P177+Buyouts!P207+Buyouts!P237+Buyouts!P267+Buyouts!P297+Buyouts!P327+Buyouts!P357</f>
        <v>0</v>
      </c>
      <c r="D50">
        <f t="shared" si="4"/>
        <v>244</v>
      </c>
      <c r="E50">
        <f t="shared" si="5"/>
        <v>195</v>
      </c>
      <c r="J50" s="2">
        <v>46113</v>
      </c>
      <c r="K50">
        <f>'Stormwater Infrastructure'!O26+'Stormwater Infrastructure'!O56+'Stormwater Infrastructure'!O86+'Stormwater Infrastructure'!O116</f>
        <v>0</v>
      </c>
      <c r="L50">
        <f>'Stormwater Infrastructure'!P26+'Stormwater Infrastructure'!P56+'Stormwater Infrastructure'!P86+'Stormwater Infrastructure'!P116</f>
        <v>0</v>
      </c>
      <c r="M50">
        <f t="shared" si="6"/>
        <v>4404</v>
      </c>
      <c r="N50">
        <f t="shared" si="7"/>
        <v>4263</v>
      </c>
    </row>
    <row r="51" spans="1:14" ht="15.5" x14ac:dyDescent="0.35">
      <c r="A51" s="2">
        <v>46204</v>
      </c>
      <c r="B51">
        <f>Buyouts!O27+Buyouts!O57+Buyouts!O87+Buyouts!O117+Buyouts!O148+Buyouts!O178+Buyouts!O208+Buyouts!O238+Buyouts!O268+Buyouts!O298+Buyouts!O328+Buyouts!O358</f>
        <v>0</v>
      </c>
      <c r="C51">
        <f>Buyouts!P27+Buyouts!P57+Buyouts!P87+Buyouts!P117+Buyouts!P148+Buyouts!P178+Buyouts!P208+Buyouts!P238+Buyouts!P268+Buyouts!P298+Buyouts!P328+Buyouts!P358</f>
        <v>0</v>
      </c>
      <c r="D51">
        <f t="shared" si="4"/>
        <v>244</v>
      </c>
      <c r="E51">
        <f t="shared" si="5"/>
        <v>195</v>
      </c>
      <c r="J51" s="2">
        <v>46204</v>
      </c>
      <c r="K51">
        <f>'Stormwater Infrastructure'!O27+'Stormwater Infrastructure'!O57+'Stormwater Infrastructure'!O87+'Stormwater Infrastructure'!O117</f>
        <v>0</v>
      </c>
      <c r="L51">
        <f>'Stormwater Infrastructure'!P27+'Stormwater Infrastructure'!P57+'Stormwater Infrastructure'!P87+'Stormwater Infrastructure'!P117</f>
        <v>0</v>
      </c>
      <c r="M51">
        <f t="shared" si="6"/>
        <v>4404</v>
      </c>
      <c r="N51">
        <f t="shared" si="7"/>
        <v>4263</v>
      </c>
    </row>
    <row r="54" spans="1:14" x14ac:dyDescent="0.35">
      <c r="A54" s="152"/>
      <c r="B54" s="153"/>
      <c r="C54" s="126"/>
      <c r="D54" s="126"/>
      <c r="E54" s="126"/>
      <c r="J54" s="152"/>
      <c r="K54" s="153"/>
      <c r="L54" s="126"/>
      <c r="M54" s="126"/>
      <c r="N54" s="126"/>
    </row>
    <row r="55" spans="1:14" ht="15.5" x14ac:dyDescent="0.35">
      <c r="A55" s="154"/>
      <c r="J55" s="154"/>
    </row>
    <row r="56" spans="1:14" ht="15.5" x14ac:dyDescent="0.35">
      <c r="A56" s="154"/>
      <c r="J56" s="154"/>
    </row>
    <row r="57" spans="1:14" ht="15.5" x14ac:dyDescent="0.35">
      <c r="A57" s="154"/>
      <c r="J57" s="154"/>
    </row>
    <row r="58" spans="1:14" ht="15.5" x14ac:dyDescent="0.35">
      <c r="A58" s="154"/>
      <c r="J58" s="154"/>
    </row>
    <row r="59" spans="1:14" ht="15.5" x14ac:dyDescent="0.35">
      <c r="A59" s="154"/>
      <c r="J59" s="154"/>
    </row>
    <row r="60" spans="1:14" ht="15.5" x14ac:dyDescent="0.35">
      <c r="A60" s="154"/>
      <c r="J60" s="154"/>
    </row>
    <row r="61" spans="1:14" ht="15.5" x14ac:dyDescent="0.35">
      <c r="A61" s="154"/>
      <c r="J61" s="154"/>
    </row>
    <row r="62" spans="1:14" ht="15.5" x14ac:dyDescent="0.35">
      <c r="A62" s="154"/>
      <c r="J62" s="154"/>
    </row>
    <row r="63" spans="1:14" ht="15.5" x14ac:dyDescent="0.35">
      <c r="A63" s="154"/>
      <c r="J63" s="154"/>
    </row>
    <row r="64" spans="1:14" ht="15.5" x14ac:dyDescent="0.35">
      <c r="A64" s="154"/>
      <c r="J64" s="154"/>
    </row>
    <row r="65" spans="1:10" ht="15.5" x14ac:dyDescent="0.35">
      <c r="A65" s="154"/>
      <c r="J65" s="154"/>
    </row>
    <row r="66" spans="1:10" ht="15.5" x14ac:dyDescent="0.35">
      <c r="A66" s="154"/>
      <c r="J66" s="154"/>
    </row>
    <row r="67" spans="1:10" ht="15.5" x14ac:dyDescent="0.35">
      <c r="A67" s="154"/>
      <c r="J67" s="154"/>
    </row>
    <row r="68" spans="1:10" ht="15.5" x14ac:dyDescent="0.35">
      <c r="A68" s="154"/>
      <c r="J68" s="154"/>
    </row>
    <row r="69" spans="1:10" ht="15.5" x14ac:dyDescent="0.35">
      <c r="A69" s="154"/>
      <c r="J69" s="154"/>
    </row>
    <row r="70" spans="1:10" ht="15.5" x14ac:dyDescent="0.35">
      <c r="A70" s="154"/>
      <c r="J70" s="154"/>
    </row>
    <row r="71" spans="1:10" ht="15.5" x14ac:dyDescent="0.35">
      <c r="A71" s="154"/>
      <c r="J71" s="154"/>
    </row>
    <row r="72" spans="1:10" ht="15.5" x14ac:dyDescent="0.35">
      <c r="A72" s="154"/>
      <c r="J72" s="154"/>
    </row>
    <row r="73" spans="1:10" ht="15.5" x14ac:dyDescent="0.35">
      <c r="A73" s="154"/>
      <c r="J73" s="154"/>
    </row>
    <row r="74" spans="1:10" ht="15.5" x14ac:dyDescent="0.35">
      <c r="A74" s="154"/>
      <c r="J74" s="154"/>
    </row>
    <row r="75" spans="1:10" ht="15.5" x14ac:dyDescent="0.35">
      <c r="A75" s="154"/>
      <c r="J75" s="154"/>
    </row>
    <row r="76" spans="1:10" ht="15.5" x14ac:dyDescent="0.35">
      <c r="A76" s="154"/>
      <c r="J76" s="154"/>
    </row>
    <row r="77" spans="1:10" ht="15.5" x14ac:dyDescent="0.35">
      <c r="A77" s="154"/>
      <c r="J77" s="154"/>
    </row>
    <row r="78" spans="1:10" ht="15.5" x14ac:dyDescent="0.35">
      <c r="A78" s="154"/>
      <c r="J78" s="15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882E-337C-433C-B778-6E9FDA2F266D}">
  <dimension ref="A1:CH222"/>
  <sheetViews>
    <sheetView topLeftCell="A8" zoomScale="80" zoomScaleNormal="80" workbookViewId="0">
      <selection activeCell="C13" sqref="C13"/>
    </sheetView>
  </sheetViews>
  <sheetFormatPr defaultRowHeight="14.5" x14ac:dyDescent="0.35"/>
  <cols>
    <col min="1" max="1" width="17.453125" bestFit="1" customWidth="1"/>
    <col min="2" max="2" width="19.26953125" customWidth="1"/>
    <col min="3" max="3" width="16.81640625" customWidth="1"/>
    <col min="4" max="4" width="17.26953125" bestFit="1" customWidth="1"/>
    <col min="5" max="5" width="16.26953125" bestFit="1" customWidth="1"/>
    <col min="6" max="6" width="15.81640625" customWidth="1"/>
    <col min="7" max="7" width="17" customWidth="1"/>
    <col min="8" max="8" width="16.1796875" customWidth="1"/>
    <col min="9" max="9" width="16" customWidth="1"/>
    <col min="10" max="11" width="16.26953125" bestFit="1" customWidth="1"/>
    <col min="12" max="12" width="15.26953125" customWidth="1"/>
    <col min="13" max="13" width="16.26953125" bestFit="1" customWidth="1"/>
    <col min="14" max="14" width="15.26953125" customWidth="1"/>
  </cols>
  <sheetData>
    <row r="1" spans="1:13" ht="29" x14ac:dyDescent="0.35">
      <c r="A1" s="54" t="s">
        <v>25</v>
      </c>
      <c r="B1" s="55" t="s">
        <v>76</v>
      </c>
      <c r="C1" s="56" t="s">
        <v>77</v>
      </c>
      <c r="D1" s="56" t="s">
        <v>78</v>
      </c>
      <c r="E1" s="56" t="s">
        <v>79</v>
      </c>
      <c r="F1" s="55" t="s">
        <v>35</v>
      </c>
      <c r="G1" s="56" t="s">
        <v>34</v>
      </c>
      <c r="H1" s="56" t="s">
        <v>36</v>
      </c>
      <c r="I1" s="56" t="s">
        <v>37</v>
      </c>
      <c r="J1" s="59" t="s">
        <v>57</v>
      </c>
      <c r="K1" s="59" t="s">
        <v>72</v>
      </c>
      <c r="L1" s="59" t="s">
        <v>58</v>
      </c>
      <c r="M1" s="59" t="s">
        <v>73</v>
      </c>
    </row>
    <row r="2" spans="1:13" ht="15.5" x14ac:dyDescent="0.35">
      <c r="A2" s="65">
        <v>44105</v>
      </c>
      <c r="B2" s="113">
        <f>'New Single Family Housing'!E5+'New Single Family Housing'!E35+'New Single Family Housing'!E65+'New Single Family Housing'!E95+'New Single Family Housing'!E125+'New Single Family Housing'!E155+'New Single Family Housing'!E185+'New Single Family Housing'!E215+'New Single Family Housing'!E245+'New Single Family Housing'!E275</f>
        <v>0</v>
      </c>
      <c r="C2" s="113">
        <f>'New Single Family Housing'!F5+'New Single Family Housing'!F35+'New Single Family Housing'!F65+'New Single Family Housing'!F95+'New Single Family Housing'!F125+'New Single Family Housing'!F155+'New Single Family Housing'!F185+'New Single Family Housing'!F215+'New Single Family Housing'!F245+'New Single Family Housing'!F275</f>
        <v>0</v>
      </c>
      <c r="D2" s="114">
        <f>B2</f>
        <v>0</v>
      </c>
      <c r="E2" s="114">
        <f>C2</f>
        <v>0</v>
      </c>
      <c r="F2" s="114">
        <f>'New Single Family Housing'!J5+'New Single Family Housing'!J35+'New Single Family Housing'!J65+'New Single Family Housing'!J95+'New Single Family Housing'!J125+'New Single Family Housing'!J155+'New Single Family Housing'!J185+'New Single Family Housing'!J215+'New Single Family Housing'!J245+'New Single Family Housing'!J275</f>
        <v>0</v>
      </c>
      <c r="G2" s="114">
        <f>'New Single Family Housing'!K5+'New Single Family Housing'!K35+'New Single Family Housing'!K65+'New Single Family Housing'!K95+'New Single Family Housing'!K125+'New Single Family Housing'!K155+'New Single Family Housing'!K185+'New Single Family Housing'!K215+'New Single Family Housing'!K245+'New Single Family Housing'!K275</f>
        <v>0</v>
      </c>
      <c r="H2" s="114">
        <f>F2</f>
        <v>0</v>
      </c>
      <c r="I2" s="114">
        <f>G2</f>
        <v>0</v>
      </c>
      <c r="J2" s="114">
        <f>'New Single Family Housing'!O5+'New Single Family Housing'!O35+'New Single Family Housing'!O65+'New Single Family Housing'!O95+'New Single Family Housing'!O125+'New Single Family Housing'!O155+'New Single Family Housing'!O185+'New Single Family Housing'!O215+'New Single Family Housing'!O245+'New Single Family Housing'!O275</f>
        <v>0</v>
      </c>
      <c r="K2" s="114">
        <f>'New Single Family Housing'!P5+'New Single Family Housing'!P35+'New Single Family Housing'!P65+'New Single Family Housing'!P95+'New Single Family Housing'!P125+'New Single Family Housing'!P155+'New Single Family Housing'!P185+'New Single Family Housing'!P215+'New Single Family Housing'!P245+'New Single Family Housing'!P275</f>
        <v>0</v>
      </c>
      <c r="L2" s="114">
        <f>J2</f>
        <v>0</v>
      </c>
      <c r="M2" s="114">
        <f>K2</f>
        <v>0</v>
      </c>
    </row>
    <row r="3" spans="1:13" ht="15.5" x14ac:dyDescent="0.35">
      <c r="A3" s="65">
        <v>44197</v>
      </c>
      <c r="B3" s="113">
        <f>'New Single Family Housing'!E6+'New Single Family Housing'!E36+'New Single Family Housing'!E66+'New Single Family Housing'!E96+'New Single Family Housing'!E126+'New Single Family Housing'!E156+'New Single Family Housing'!E186+'New Single Family Housing'!E216+'New Single Family Housing'!E246+'New Single Family Housing'!E276</f>
        <v>0</v>
      </c>
      <c r="C3" s="113">
        <f>'New Single Family Housing'!F6+'New Single Family Housing'!F36+'New Single Family Housing'!F66+'New Single Family Housing'!F96+'New Single Family Housing'!F126+'New Single Family Housing'!F156+'New Single Family Housing'!F186+'New Single Family Housing'!F216+'New Single Family Housing'!F246+'New Single Family Housing'!F276</f>
        <v>0</v>
      </c>
      <c r="D3" s="114">
        <f>D2+B3</f>
        <v>0</v>
      </c>
      <c r="E3" s="114">
        <f>E2+C3</f>
        <v>0</v>
      </c>
      <c r="F3" s="114">
        <f>'New Single Family Housing'!J6+'New Single Family Housing'!J36+'New Single Family Housing'!J66+'New Single Family Housing'!J96+'New Single Family Housing'!J126+'New Single Family Housing'!J156+'New Single Family Housing'!J186+'New Single Family Housing'!J216+'New Single Family Housing'!J246+'New Single Family Housing'!J276</f>
        <v>0</v>
      </c>
      <c r="G3" s="114">
        <f>'New Single Family Housing'!K6+'New Single Family Housing'!K36+'New Single Family Housing'!K66+'New Single Family Housing'!K96+'New Single Family Housing'!K126+'New Single Family Housing'!K156+'New Single Family Housing'!K186+'New Single Family Housing'!K216+'New Single Family Housing'!K246+'New Single Family Housing'!K276</f>
        <v>0</v>
      </c>
      <c r="H3" s="114">
        <f>H2+F3</f>
        <v>0</v>
      </c>
      <c r="I3" s="114">
        <f>I2+G3</f>
        <v>0</v>
      </c>
      <c r="J3" s="114">
        <f>'New Single Family Housing'!O6+'New Single Family Housing'!O36+'New Single Family Housing'!O66+'New Single Family Housing'!O96+'New Single Family Housing'!O126+'New Single Family Housing'!O156+'New Single Family Housing'!O186+'New Single Family Housing'!O216+'New Single Family Housing'!O246+'New Single Family Housing'!O276</f>
        <v>0</v>
      </c>
      <c r="K3" s="114">
        <f>'New Single Family Housing'!P6+'New Single Family Housing'!P36+'New Single Family Housing'!P66+'New Single Family Housing'!P96+'New Single Family Housing'!P126+'New Single Family Housing'!P156+'New Single Family Housing'!P186+'New Single Family Housing'!P216+'New Single Family Housing'!P246+'New Single Family Housing'!P276</f>
        <v>0</v>
      </c>
      <c r="L3" s="114">
        <f>L2+J3</f>
        <v>0</v>
      </c>
      <c r="M3" s="114">
        <f>M2+K3</f>
        <v>0</v>
      </c>
    </row>
    <row r="4" spans="1:13" ht="15.5" x14ac:dyDescent="0.35">
      <c r="A4" s="65">
        <v>44287</v>
      </c>
      <c r="B4" s="113">
        <f>'New Single Family Housing'!E7+'New Single Family Housing'!E37+'New Single Family Housing'!E67+'New Single Family Housing'!E97+'New Single Family Housing'!E127+'New Single Family Housing'!E157+'New Single Family Housing'!E187+'New Single Family Housing'!E217+'New Single Family Housing'!E247+'New Single Family Housing'!E277</f>
        <v>8587.6883333333335</v>
      </c>
      <c r="C4" s="113">
        <f>'New Single Family Housing'!F7+'New Single Family Housing'!F37+'New Single Family Housing'!F67+'New Single Family Housing'!F97+'New Single Family Housing'!F127+'New Single Family Housing'!F157+'New Single Family Housing'!F187+'New Single Family Housing'!F217+'New Single Family Housing'!F247+'New Single Family Housing'!F277</f>
        <v>0</v>
      </c>
      <c r="D4" s="114">
        <f t="shared" ref="D4:D25" si="0">D3+B4</f>
        <v>8587.6883333333335</v>
      </c>
      <c r="E4" s="114">
        <f t="shared" ref="E4:E25" si="1">E3+C4</f>
        <v>0</v>
      </c>
      <c r="F4" s="114">
        <f>'New Single Family Housing'!J7+'New Single Family Housing'!J37+'New Single Family Housing'!J67+'New Single Family Housing'!J97+'New Single Family Housing'!J127+'New Single Family Housing'!J157+'New Single Family Housing'!J187+'New Single Family Housing'!J217+'New Single Family Housing'!J247+'New Single Family Housing'!J277</f>
        <v>500</v>
      </c>
      <c r="G4" s="114">
        <f>'New Single Family Housing'!K7+'New Single Family Housing'!K37+'New Single Family Housing'!K67+'New Single Family Housing'!K97+'New Single Family Housing'!K127+'New Single Family Housing'!K157+'New Single Family Housing'!K187+'New Single Family Housing'!K217+'New Single Family Housing'!K247+'New Single Family Housing'!K277</f>
        <v>0</v>
      </c>
      <c r="H4" s="114">
        <f t="shared" ref="H4:H25" si="2">H3+F4</f>
        <v>500</v>
      </c>
      <c r="I4" s="114">
        <f t="shared" ref="I4:I25" si="3">I3+G4</f>
        <v>0</v>
      </c>
      <c r="J4" s="114">
        <f>'New Single Family Housing'!O7+'New Single Family Housing'!O37+'New Single Family Housing'!O67+'New Single Family Housing'!O97+'New Single Family Housing'!O127+'New Single Family Housing'!O157+'New Single Family Housing'!O187+'New Single Family Housing'!O217+'New Single Family Housing'!O247+'New Single Family Housing'!O277</f>
        <v>0</v>
      </c>
      <c r="K4" s="114">
        <f>'New Single Family Housing'!P7+'New Single Family Housing'!P37+'New Single Family Housing'!P67+'New Single Family Housing'!P97+'New Single Family Housing'!P127+'New Single Family Housing'!P157+'New Single Family Housing'!P187+'New Single Family Housing'!P217+'New Single Family Housing'!P247+'New Single Family Housing'!P277</f>
        <v>0</v>
      </c>
      <c r="L4" s="114">
        <f t="shared" ref="L4:L25" si="4">L3+J4</f>
        <v>0</v>
      </c>
      <c r="M4" s="114">
        <f t="shared" ref="M4:M25" si="5">M3+K4</f>
        <v>0</v>
      </c>
    </row>
    <row r="5" spans="1:13" ht="15.5" x14ac:dyDescent="0.35">
      <c r="A5" s="65">
        <v>44378</v>
      </c>
      <c r="B5" s="113">
        <f>'New Single Family Housing'!E8+'New Single Family Housing'!E38+'New Single Family Housing'!E68+'New Single Family Housing'!E98+'New Single Family Housing'!E128+'New Single Family Housing'!E158+'New Single Family Housing'!E188+'New Single Family Housing'!E218+'New Single Family Housing'!E248+'New Single Family Housing'!E278</f>
        <v>8587.6883333333335</v>
      </c>
      <c r="C5" s="113">
        <f>'New Single Family Housing'!F8+'New Single Family Housing'!F38+'New Single Family Housing'!F68+'New Single Family Housing'!F98+'New Single Family Housing'!F128+'New Single Family Housing'!F158+'New Single Family Housing'!F188+'New Single Family Housing'!F218+'New Single Family Housing'!F248+'New Single Family Housing'!F278</f>
        <v>0</v>
      </c>
      <c r="D5" s="114">
        <f t="shared" si="0"/>
        <v>17175.376666666667</v>
      </c>
      <c r="E5" s="114">
        <f t="shared" si="1"/>
        <v>0</v>
      </c>
      <c r="F5" s="114">
        <f>'New Single Family Housing'!J8+'New Single Family Housing'!J38+'New Single Family Housing'!J68+'New Single Family Housing'!J98+'New Single Family Housing'!J128+'New Single Family Housing'!J158+'New Single Family Housing'!J188+'New Single Family Housing'!J218+'New Single Family Housing'!J248+'New Single Family Housing'!J278</f>
        <v>500</v>
      </c>
      <c r="G5" s="114">
        <f>'New Single Family Housing'!K8+'New Single Family Housing'!K38+'New Single Family Housing'!K68+'New Single Family Housing'!K98+'New Single Family Housing'!K128+'New Single Family Housing'!K158+'New Single Family Housing'!K188+'New Single Family Housing'!K218+'New Single Family Housing'!K248+'New Single Family Housing'!K278</f>
        <v>0</v>
      </c>
      <c r="H5" s="114">
        <f t="shared" si="2"/>
        <v>1000</v>
      </c>
      <c r="I5" s="114">
        <f t="shared" si="3"/>
        <v>0</v>
      </c>
      <c r="J5" s="114">
        <f>'New Single Family Housing'!O8+'New Single Family Housing'!O38+'New Single Family Housing'!O68+'New Single Family Housing'!O98+'New Single Family Housing'!O128+'New Single Family Housing'!O158+'New Single Family Housing'!O188+'New Single Family Housing'!O218+'New Single Family Housing'!O248+'New Single Family Housing'!O278</f>
        <v>0</v>
      </c>
      <c r="K5" s="114">
        <f>'New Single Family Housing'!P8+'New Single Family Housing'!P38+'New Single Family Housing'!P68+'New Single Family Housing'!P98+'New Single Family Housing'!P128+'New Single Family Housing'!P158+'New Single Family Housing'!P188+'New Single Family Housing'!P218+'New Single Family Housing'!P248+'New Single Family Housing'!P278</f>
        <v>0</v>
      </c>
      <c r="L5" s="114">
        <f t="shared" si="4"/>
        <v>0</v>
      </c>
      <c r="M5" s="114">
        <f t="shared" si="5"/>
        <v>0</v>
      </c>
    </row>
    <row r="6" spans="1:13" ht="15.5" x14ac:dyDescent="0.35">
      <c r="A6" s="65">
        <v>44470</v>
      </c>
      <c r="B6" s="113">
        <f>'New Single Family Housing'!E9+'New Single Family Housing'!E39+'New Single Family Housing'!E69+'New Single Family Housing'!E99+'New Single Family Housing'!E129+'New Single Family Housing'!E159+'New Single Family Housing'!E189+'New Single Family Housing'!E219+'New Single Family Housing'!E249+'New Single Family Housing'!E279</f>
        <v>8587.6883333333335</v>
      </c>
      <c r="C6" s="113">
        <f>'New Single Family Housing'!F9+'New Single Family Housing'!F39+'New Single Family Housing'!F69+'New Single Family Housing'!F99+'New Single Family Housing'!F129+'New Single Family Housing'!F159+'New Single Family Housing'!F189+'New Single Family Housing'!F219+'New Single Family Housing'!F249+'New Single Family Housing'!F279</f>
        <v>0</v>
      </c>
      <c r="D6" s="114">
        <f t="shared" si="0"/>
        <v>25763.065000000002</v>
      </c>
      <c r="E6" s="114">
        <f t="shared" si="1"/>
        <v>0</v>
      </c>
      <c r="F6" s="114">
        <f>'New Single Family Housing'!J9+'New Single Family Housing'!J39+'New Single Family Housing'!J69+'New Single Family Housing'!J99+'New Single Family Housing'!J129+'New Single Family Housing'!J159+'New Single Family Housing'!J189+'New Single Family Housing'!J219+'New Single Family Housing'!J249+'New Single Family Housing'!J279</f>
        <v>500</v>
      </c>
      <c r="G6" s="114">
        <f>'New Single Family Housing'!K9+'New Single Family Housing'!K39+'New Single Family Housing'!K69+'New Single Family Housing'!K99+'New Single Family Housing'!K129+'New Single Family Housing'!K159+'New Single Family Housing'!K189+'New Single Family Housing'!K219+'New Single Family Housing'!K249+'New Single Family Housing'!K279</f>
        <v>0</v>
      </c>
      <c r="H6" s="114">
        <f t="shared" si="2"/>
        <v>1500</v>
      </c>
      <c r="I6" s="114">
        <f t="shared" si="3"/>
        <v>0</v>
      </c>
      <c r="J6" s="114">
        <f>'New Single Family Housing'!O9+'New Single Family Housing'!O39+'New Single Family Housing'!O69+'New Single Family Housing'!O99+'New Single Family Housing'!O129+'New Single Family Housing'!O159+'New Single Family Housing'!O189+'New Single Family Housing'!O219+'New Single Family Housing'!O249+'New Single Family Housing'!O279</f>
        <v>0</v>
      </c>
      <c r="K6" s="114">
        <f>'New Single Family Housing'!P9+'New Single Family Housing'!P39+'New Single Family Housing'!P69+'New Single Family Housing'!P99+'New Single Family Housing'!P129+'New Single Family Housing'!P159+'New Single Family Housing'!P189+'New Single Family Housing'!P219+'New Single Family Housing'!P249+'New Single Family Housing'!P279</f>
        <v>0</v>
      </c>
      <c r="L6" s="114">
        <f t="shared" si="4"/>
        <v>0</v>
      </c>
      <c r="M6" s="114">
        <f t="shared" si="5"/>
        <v>0</v>
      </c>
    </row>
    <row r="7" spans="1:13" ht="15.5" x14ac:dyDescent="0.35">
      <c r="A7" s="65">
        <v>44562</v>
      </c>
      <c r="B7" s="113">
        <f>'New Single Family Housing'!E10+'New Single Family Housing'!E40+'New Single Family Housing'!E70+'New Single Family Housing'!E100+'New Single Family Housing'!E130+'New Single Family Housing'!E160+'New Single Family Housing'!E190+'New Single Family Housing'!E220+'New Single Family Housing'!E250+'New Single Family Housing'!E280</f>
        <v>8587.6883333333335</v>
      </c>
      <c r="C7" s="113">
        <f>'New Single Family Housing'!F10+'New Single Family Housing'!F40+'New Single Family Housing'!F70+'New Single Family Housing'!F100+'New Single Family Housing'!F130+'New Single Family Housing'!F160+'New Single Family Housing'!F190+'New Single Family Housing'!F220+'New Single Family Housing'!F250+'New Single Family Housing'!F280</f>
        <v>0</v>
      </c>
      <c r="D7" s="114">
        <f t="shared" si="0"/>
        <v>34350.753333333334</v>
      </c>
      <c r="E7" s="114">
        <f t="shared" si="1"/>
        <v>0</v>
      </c>
      <c r="F7" s="114">
        <f>'New Single Family Housing'!J10+'New Single Family Housing'!J40+'New Single Family Housing'!J70+'New Single Family Housing'!J100+'New Single Family Housing'!J130+'New Single Family Housing'!J160+'New Single Family Housing'!J190+'New Single Family Housing'!J220+'New Single Family Housing'!J250+'New Single Family Housing'!J280</f>
        <v>500</v>
      </c>
      <c r="G7" s="114">
        <f>'New Single Family Housing'!K10+'New Single Family Housing'!K40+'New Single Family Housing'!K70+'New Single Family Housing'!K100+'New Single Family Housing'!K130+'New Single Family Housing'!K160+'New Single Family Housing'!K190+'New Single Family Housing'!K220+'New Single Family Housing'!K250+'New Single Family Housing'!K280</f>
        <v>1456</v>
      </c>
      <c r="H7" s="114">
        <f t="shared" si="2"/>
        <v>2000</v>
      </c>
      <c r="I7" s="114">
        <f t="shared" si="3"/>
        <v>1456</v>
      </c>
      <c r="J7" s="114">
        <f>'New Single Family Housing'!O10+'New Single Family Housing'!O40+'New Single Family Housing'!O70+'New Single Family Housing'!O100+'New Single Family Housing'!O130+'New Single Family Housing'!O160+'New Single Family Housing'!O190+'New Single Family Housing'!O220+'New Single Family Housing'!O250+'New Single Family Housing'!O280</f>
        <v>0</v>
      </c>
      <c r="K7" s="114">
        <f>'New Single Family Housing'!P10+'New Single Family Housing'!P40+'New Single Family Housing'!P70+'New Single Family Housing'!P100+'New Single Family Housing'!P130+'New Single Family Housing'!P160+'New Single Family Housing'!P190+'New Single Family Housing'!P220+'New Single Family Housing'!P250+'New Single Family Housing'!P280</f>
        <v>0</v>
      </c>
      <c r="L7" s="114">
        <f t="shared" si="4"/>
        <v>0</v>
      </c>
      <c r="M7" s="114">
        <f t="shared" si="5"/>
        <v>0</v>
      </c>
    </row>
    <row r="8" spans="1:13" ht="15.5" x14ac:dyDescent="0.35">
      <c r="A8" s="65">
        <v>44652</v>
      </c>
      <c r="B8" s="113">
        <f>'New Single Family Housing'!E11+'New Single Family Housing'!E41+'New Single Family Housing'!E71+'New Single Family Housing'!E101+'New Single Family Housing'!E131+'New Single Family Housing'!E161+'New Single Family Housing'!E191+'New Single Family Housing'!E221+'New Single Family Housing'!E251+'New Single Family Housing'!E281</f>
        <v>1484966.1355956625</v>
      </c>
      <c r="C8" s="113">
        <f>'New Single Family Housing'!F11+'New Single Family Housing'!F41+'New Single Family Housing'!F71+'New Single Family Housing'!F101+'New Single Family Housing'!F131+'New Single Family Housing'!F161+'New Single Family Housing'!F191+'New Single Family Housing'!F221+'New Single Family Housing'!F251+'New Single Family Housing'!F281</f>
        <v>0</v>
      </c>
      <c r="D8" s="114">
        <f t="shared" si="0"/>
        <v>1519316.8889289959</v>
      </c>
      <c r="E8" s="114">
        <f t="shared" si="1"/>
        <v>0</v>
      </c>
      <c r="F8" s="114">
        <f>'New Single Family Housing'!J11+'New Single Family Housing'!J41+'New Single Family Housing'!J71+'New Single Family Housing'!J101+'New Single Family Housing'!J131+'New Single Family Housing'!J161+'New Single Family Housing'!J191+'New Single Family Housing'!J221+'New Single Family Housing'!J251+'New Single Family Housing'!J281</f>
        <v>64528.34224598929</v>
      </c>
      <c r="G8" s="114">
        <f>'New Single Family Housing'!K11+'New Single Family Housing'!K41+'New Single Family Housing'!K71+'New Single Family Housing'!K101+'New Single Family Housing'!K131+'New Single Family Housing'!K161+'New Single Family Housing'!K191+'New Single Family Housing'!K221+'New Single Family Housing'!K251+'New Single Family Housing'!K281</f>
        <v>0</v>
      </c>
      <c r="H8" s="114">
        <f t="shared" si="2"/>
        <v>66528.34224598929</v>
      </c>
      <c r="I8" s="114">
        <f t="shared" si="3"/>
        <v>1456</v>
      </c>
      <c r="J8" s="114">
        <f>'New Single Family Housing'!O11+'New Single Family Housing'!O41+'New Single Family Housing'!O71+'New Single Family Housing'!O101+'New Single Family Housing'!O131+'New Single Family Housing'!O161+'New Single Family Housing'!O191+'New Single Family Housing'!O221+'New Single Family Housing'!O251+'New Single Family Housing'!O281</f>
        <v>0</v>
      </c>
      <c r="K8" s="114">
        <f>'New Single Family Housing'!P11+'New Single Family Housing'!P41+'New Single Family Housing'!P71+'New Single Family Housing'!P101+'New Single Family Housing'!P131+'New Single Family Housing'!P161+'New Single Family Housing'!P191+'New Single Family Housing'!P221+'New Single Family Housing'!P251+'New Single Family Housing'!P281</f>
        <v>0</v>
      </c>
      <c r="L8" s="114">
        <f t="shared" si="4"/>
        <v>0</v>
      </c>
      <c r="M8" s="114">
        <f t="shared" si="5"/>
        <v>0</v>
      </c>
    </row>
    <row r="9" spans="1:13" ht="15.5" x14ac:dyDescent="0.35">
      <c r="A9" s="65">
        <v>44743</v>
      </c>
      <c r="B9" s="113">
        <f>'New Single Family Housing'!E12+'New Single Family Housing'!E42+'New Single Family Housing'!E72+'New Single Family Housing'!E102+'New Single Family Housing'!E132+'New Single Family Housing'!E162+'New Single Family Housing'!E192+'New Single Family Housing'!E222+'New Single Family Housing'!E252+'New Single Family Housing'!E282</f>
        <v>1484966.1355956625</v>
      </c>
      <c r="C9" s="113">
        <f>'New Single Family Housing'!F12+'New Single Family Housing'!F42+'New Single Family Housing'!F72+'New Single Family Housing'!F102+'New Single Family Housing'!F132+'New Single Family Housing'!F162+'New Single Family Housing'!F192+'New Single Family Housing'!F222+'New Single Family Housing'!F252+'New Single Family Housing'!F282</f>
        <v>197181</v>
      </c>
      <c r="D9" s="114">
        <f t="shared" si="0"/>
        <v>3004283.0245246585</v>
      </c>
      <c r="E9" s="114">
        <f t="shared" si="1"/>
        <v>197181</v>
      </c>
      <c r="F9" s="114">
        <f>'New Single Family Housing'!J12+'New Single Family Housing'!J42+'New Single Family Housing'!J72+'New Single Family Housing'!J102+'New Single Family Housing'!J132+'New Single Family Housing'!J162+'New Single Family Housing'!J192+'New Single Family Housing'!J222+'New Single Family Housing'!J252+'New Single Family Housing'!J282</f>
        <v>64528.34224598929</v>
      </c>
      <c r="G9" s="114">
        <f>'New Single Family Housing'!K12+'New Single Family Housing'!K42+'New Single Family Housing'!K72+'New Single Family Housing'!K102+'New Single Family Housing'!K132+'New Single Family Housing'!K162+'New Single Family Housing'!K192+'New Single Family Housing'!K222+'New Single Family Housing'!K252+'New Single Family Housing'!K282</f>
        <v>17124</v>
      </c>
      <c r="H9" s="114">
        <f t="shared" si="2"/>
        <v>131056.68449197858</v>
      </c>
      <c r="I9" s="114">
        <f t="shared" si="3"/>
        <v>18580</v>
      </c>
      <c r="J9" s="114">
        <f>'New Single Family Housing'!O12+'New Single Family Housing'!O42+'New Single Family Housing'!O72+'New Single Family Housing'!O102+'New Single Family Housing'!O132+'New Single Family Housing'!O162+'New Single Family Housing'!O192+'New Single Family Housing'!O222+'New Single Family Housing'!O252+'New Single Family Housing'!O282</f>
        <v>0</v>
      </c>
      <c r="K9" s="114">
        <f>'New Single Family Housing'!P12+'New Single Family Housing'!P42+'New Single Family Housing'!P72+'New Single Family Housing'!P102+'New Single Family Housing'!P132+'New Single Family Housing'!P162+'New Single Family Housing'!P192+'New Single Family Housing'!P222+'New Single Family Housing'!P252+'New Single Family Housing'!P282</f>
        <v>0</v>
      </c>
      <c r="L9" s="114">
        <f t="shared" si="4"/>
        <v>0</v>
      </c>
      <c r="M9" s="114">
        <f t="shared" si="5"/>
        <v>0</v>
      </c>
    </row>
    <row r="10" spans="1:13" ht="15.5" x14ac:dyDescent="0.35">
      <c r="A10" s="65">
        <v>44835</v>
      </c>
      <c r="B10" s="113">
        <f>'New Single Family Housing'!E13+'New Single Family Housing'!E43+'New Single Family Housing'!E73+'New Single Family Housing'!E103+'New Single Family Housing'!E133+'New Single Family Housing'!E163+'New Single Family Housing'!E193+'New Single Family Housing'!E223+'New Single Family Housing'!E253+'New Single Family Housing'!E283</f>
        <v>1484966.1355956625</v>
      </c>
      <c r="C10" s="113">
        <f>'New Single Family Housing'!F13+'New Single Family Housing'!F43+'New Single Family Housing'!F73+'New Single Family Housing'!F103+'New Single Family Housing'!F133+'New Single Family Housing'!F163+'New Single Family Housing'!F193+'New Single Family Housing'!F223+'New Single Family Housing'!F253+'New Single Family Housing'!F283</f>
        <v>787801</v>
      </c>
      <c r="D10" s="114">
        <f t="shared" si="0"/>
        <v>4489249.1601203214</v>
      </c>
      <c r="E10" s="114">
        <f t="shared" si="1"/>
        <v>984982</v>
      </c>
      <c r="F10" s="114">
        <f>'New Single Family Housing'!J13+'New Single Family Housing'!J43+'New Single Family Housing'!J73+'New Single Family Housing'!J103+'New Single Family Housing'!J133+'New Single Family Housing'!J163+'New Single Family Housing'!J193+'New Single Family Housing'!J223+'New Single Family Housing'!J253+'New Single Family Housing'!J283</f>
        <v>64528.34224598929</v>
      </c>
      <c r="G10" s="114">
        <f>'New Single Family Housing'!K13+'New Single Family Housing'!K43+'New Single Family Housing'!K73+'New Single Family Housing'!K103+'New Single Family Housing'!K133+'New Single Family Housing'!K163+'New Single Family Housing'!K193+'New Single Family Housing'!K223+'New Single Family Housing'!K253+'New Single Family Housing'!K283</f>
        <v>88056</v>
      </c>
      <c r="H10" s="114">
        <f t="shared" si="2"/>
        <v>195585.02673796786</v>
      </c>
      <c r="I10" s="114">
        <f t="shared" si="3"/>
        <v>106636</v>
      </c>
      <c r="J10" s="114">
        <f>'New Single Family Housing'!O13+'New Single Family Housing'!O43+'New Single Family Housing'!O73+'New Single Family Housing'!O103+'New Single Family Housing'!O133+'New Single Family Housing'!O163+'New Single Family Housing'!O193+'New Single Family Housing'!O223+'New Single Family Housing'!O253+'New Single Family Housing'!O283</f>
        <v>0</v>
      </c>
      <c r="K10" s="114">
        <f>'New Single Family Housing'!P13+'New Single Family Housing'!P43+'New Single Family Housing'!P73+'New Single Family Housing'!P103+'New Single Family Housing'!P133+'New Single Family Housing'!P163+'New Single Family Housing'!P193+'New Single Family Housing'!P223+'New Single Family Housing'!P253+'New Single Family Housing'!P283</f>
        <v>0</v>
      </c>
      <c r="L10" s="114">
        <f t="shared" si="4"/>
        <v>0</v>
      </c>
      <c r="M10" s="114">
        <f t="shared" si="5"/>
        <v>0</v>
      </c>
    </row>
    <row r="11" spans="1:13" ht="15.5" x14ac:dyDescent="0.35">
      <c r="A11" s="65">
        <v>44927</v>
      </c>
      <c r="B11" s="113">
        <f>'New Single Family Housing'!E14+'New Single Family Housing'!E44+'New Single Family Housing'!E74+'New Single Family Housing'!E104+'New Single Family Housing'!E134+'New Single Family Housing'!E164+'New Single Family Housing'!E194+'New Single Family Housing'!E224+'New Single Family Housing'!E254+'New Single Family Housing'!E284</f>
        <v>1484966.1355956625</v>
      </c>
      <c r="C11" s="113">
        <f>'New Single Family Housing'!F14+'New Single Family Housing'!F44+'New Single Family Housing'!F74+'New Single Family Housing'!F104+'New Single Family Housing'!F134+'New Single Family Housing'!F164+'New Single Family Housing'!F194+'New Single Family Housing'!F224+'New Single Family Housing'!F254+'New Single Family Housing'!F284</f>
        <v>1563012</v>
      </c>
      <c r="D11" s="114">
        <f t="shared" si="0"/>
        <v>5974215.295715984</v>
      </c>
      <c r="E11" s="114">
        <f t="shared" si="1"/>
        <v>2547994</v>
      </c>
      <c r="F11" s="114">
        <f>'New Single Family Housing'!J14+'New Single Family Housing'!J44+'New Single Family Housing'!J74+'New Single Family Housing'!J104+'New Single Family Housing'!J134+'New Single Family Housing'!J164+'New Single Family Housing'!J194+'New Single Family Housing'!J224+'New Single Family Housing'!J254+'New Single Family Housing'!J284</f>
        <v>64528.34224598929</v>
      </c>
      <c r="G11" s="114">
        <f>'New Single Family Housing'!K14+'New Single Family Housing'!K44+'New Single Family Housing'!K74+'New Single Family Housing'!K104+'New Single Family Housing'!K134+'New Single Family Housing'!K164+'New Single Family Housing'!K194+'New Single Family Housing'!K224+'New Single Family Housing'!K254+'New Single Family Housing'!K284</f>
        <v>64973</v>
      </c>
      <c r="H11" s="114">
        <f t="shared" si="2"/>
        <v>260113.36898395716</v>
      </c>
      <c r="I11" s="114">
        <f t="shared" si="3"/>
        <v>171609</v>
      </c>
      <c r="J11" s="114">
        <f>'New Single Family Housing'!O14+'New Single Family Housing'!O44+'New Single Family Housing'!O74+'New Single Family Housing'!O104+'New Single Family Housing'!O134+'New Single Family Housing'!O164+'New Single Family Housing'!O194+'New Single Family Housing'!O224+'New Single Family Housing'!O254+'New Single Family Housing'!O284</f>
        <v>0</v>
      </c>
      <c r="K11" s="114">
        <f>'New Single Family Housing'!P14+'New Single Family Housing'!P44+'New Single Family Housing'!P74+'New Single Family Housing'!P104+'New Single Family Housing'!P134+'New Single Family Housing'!P164+'New Single Family Housing'!P194+'New Single Family Housing'!P224+'New Single Family Housing'!P254+'New Single Family Housing'!P284</f>
        <v>0</v>
      </c>
      <c r="L11" s="114">
        <f t="shared" si="4"/>
        <v>0</v>
      </c>
      <c r="M11" s="114">
        <f t="shared" si="5"/>
        <v>0</v>
      </c>
    </row>
    <row r="12" spans="1:13" ht="15.5" x14ac:dyDescent="0.35">
      <c r="A12" s="65">
        <v>45017</v>
      </c>
      <c r="B12" s="113">
        <f>'New Single Family Housing'!E15+'New Single Family Housing'!E45+'New Single Family Housing'!E75+'New Single Family Housing'!E105+'New Single Family Housing'!E135+'New Single Family Housing'!E165+'New Single Family Housing'!E195+'New Single Family Housing'!E225+'New Single Family Housing'!E255+'New Single Family Housing'!E285</f>
        <v>1484966.1355956625</v>
      </c>
      <c r="C12" s="113">
        <f>'New Single Family Housing'!F15+'New Single Family Housing'!F45+'New Single Family Housing'!F75+'New Single Family Housing'!F105+'New Single Family Housing'!F135+'New Single Family Housing'!F165+'New Single Family Housing'!F195+'New Single Family Housing'!F225+'New Single Family Housing'!F255+'New Single Family Housing'!F285</f>
        <v>1463185.09</v>
      </c>
      <c r="D12" s="114">
        <f t="shared" si="0"/>
        <v>7459181.4313116465</v>
      </c>
      <c r="E12" s="114">
        <f t="shared" si="1"/>
        <v>4011179.09</v>
      </c>
      <c r="F12" s="114">
        <f>'New Single Family Housing'!J15+'New Single Family Housing'!J45+'New Single Family Housing'!J75+'New Single Family Housing'!J105+'New Single Family Housing'!J135+'New Single Family Housing'!J165+'New Single Family Housing'!J195+'New Single Family Housing'!J225+'New Single Family Housing'!J255+'New Single Family Housing'!J285</f>
        <v>64528.34224598929</v>
      </c>
      <c r="G12" s="114">
        <f>'New Single Family Housing'!K15+'New Single Family Housing'!K45+'New Single Family Housing'!K75+'New Single Family Housing'!K105+'New Single Family Housing'!K135+'New Single Family Housing'!K165+'New Single Family Housing'!K195+'New Single Family Housing'!K225+'New Single Family Housing'!K255+'New Single Family Housing'!K285</f>
        <v>39023.479999999996</v>
      </c>
      <c r="H12" s="114">
        <f t="shared" si="2"/>
        <v>324641.71122994646</v>
      </c>
      <c r="I12" s="114">
        <f t="shared" si="3"/>
        <v>210632.47999999998</v>
      </c>
      <c r="J12" s="114">
        <f>'New Single Family Housing'!O15+'New Single Family Housing'!O45+'New Single Family Housing'!O75+'New Single Family Housing'!O105+'New Single Family Housing'!O135+'New Single Family Housing'!O165+'New Single Family Housing'!O195+'New Single Family Housing'!O225+'New Single Family Housing'!O255+'New Single Family Housing'!O285</f>
        <v>0</v>
      </c>
      <c r="K12" s="114">
        <f>'New Single Family Housing'!P15+'New Single Family Housing'!P45+'New Single Family Housing'!P75+'New Single Family Housing'!P105+'New Single Family Housing'!P135+'New Single Family Housing'!P165+'New Single Family Housing'!P195+'New Single Family Housing'!P225+'New Single Family Housing'!P255+'New Single Family Housing'!P285</f>
        <v>0</v>
      </c>
      <c r="L12" s="114">
        <f t="shared" si="4"/>
        <v>0</v>
      </c>
      <c r="M12" s="114">
        <f t="shared" si="5"/>
        <v>0</v>
      </c>
    </row>
    <row r="13" spans="1:13" ht="15.5" x14ac:dyDescent="0.35">
      <c r="A13" s="65">
        <v>45108</v>
      </c>
      <c r="B13" s="113">
        <f>'New Single Family Housing'!E16+'New Single Family Housing'!E46+'New Single Family Housing'!E76+'New Single Family Housing'!E106+'New Single Family Housing'!E136+'New Single Family Housing'!E166+'New Single Family Housing'!E196+'New Single Family Housing'!E226+'New Single Family Housing'!E256+'New Single Family Housing'!E286</f>
        <v>1484966.1355956625</v>
      </c>
      <c r="C13" s="113">
        <f>'New Single Family Housing'!F16+'New Single Family Housing'!F46+'New Single Family Housing'!F76+'New Single Family Housing'!F106+'New Single Family Housing'!F136+'New Single Family Housing'!F166+'New Single Family Housing'!F196+'New Single Family Housing'!F226+'New Single Family Housing'!F256+'New Single Family Housing'!F286</f>
        <v>1337310.06</v>
      </c>
      <c r="D13" s="114">
        <f t="shared" si="0"/>
        <v>8944147.566907309</v>
      </c>
      <c r="E13" s="114">
        <f t="shared" si="1"/>
        <v>5348489.1500000004</v>
      </c>
      <c r="F13" s="114">
        <f>'New Single Family Housing'!J16+'New Single Family Housing'!J46+'New Single Family Housing'!J76+'New Single Family Housing'!J106+'New Single Family Housing'!J136+'New Single Family Housing'!J166+'New Single Family Housing'!J196+'New Single Family Housing'!J226+'New Single Family Housing'!J256+'New Single Family Housing'!J286</f>
        <v>64528.34224598929</v>
      </c>
      <c r="G13" s="114">
        <f>'New Single Family Housing'!K16+'New Single Family Housing'!K46+'New Single Family Housing'!K76+'New Single Family Housing'!K106+'New Single Family Housing'!K136+'New Single Family Housing'!K166+'New Single Family Housing'!K196+'New Single Family Housing'!K226+'New Single Family Housing'!K256+'New Single Family Housing'!K286</f>
        <v>32101</v>
      </c>
      <c r="H13" s="114">
        <f t="shared" si="2"/>
        <v>389170.05347593577</v>
      </c>
      <c r="I13" s="114">
        <f t="shared" si="3"/>
        <v>242733.47999999998</v>
      </c>
      <c r="J13" s="114">
        <f>'New Single Family Housing'!O16+'New Single Family Housing'!O46+'New Single Family Housing'!O76+'New Single Family Housing'!O106+'New Single Family Housing'!O136+'New Single Family Housing'!O166+'New Single Family Housing'!O196+'New Single Family Housing'!O226+'New Single Family Housing'!O256+'New Single Family Housing'!O286</f>
        <v>0</v>
      </c>
      <c r="K13" s="114">
        <f>'New Single Family Housing'!P16+'New Single Family Housing'!P46+'New Single Family Housing'!P76+'New Single Family Housing'!P106+'New Single Family Housing'!P136+'New Single Family Housing'!P166+'New Single Family Housing'!P196+'New Single Family Housing'!P226+'New Single Family Housing'!P256+'New Single Family Housing'!P286</f>
        <v>0</v>
      </c>
      <c r="L13" s="114">
        <f t="shared" si="4"/>
        <v>0</v>
      </c>
      <c r="M13" s="114">
        <f t="shared" si="5"/>
        <v>0</v>
      </c>
    </row>
    <row r="14" spans="1:13" ht="15.5" x14ac:dyDescent="0.35">
      <c r="A14" s="65">
        <v>45200</v>
      </c>
      <c r="B14" s="113">
        <f>'New Single Family Housing'!E17+'New Single Family Housing'!E47+'New Single Family Housing'!E77+'New Single Family Housing'!E107+'New Single Family Housing'!E137+'New Single Family Housing'!E167+'New Single Family Housing'!E197+'New Single Family Housing'!E227+'New Single Family Housing'!E257+'New Single Family Housing'!E287</f>
        <v>1484966.1355956625</v>
      </c>
      <c r="C14" s="113">
        <f>'New Single Family Housing'!F17+'New Single Family Housing'!F47+'New Single Family Housing'!F77+'New Single Family Housing'!F107+'New Single Family Housing'!F137+'New Single Family Housing'!F167+'New Single Family Housing'!F197+'New Single Family Housing'!F227+'New Single Family Housing'!F257+'New Single Family Housing'!F287</f>
        <v>-73654.510000000068</v>
      </c>
      <c r="D14" s="114">
        <f t="shared" si="0"/>
        <v>10429113.702502972</v>
      </c>
      <c r="E14" s="114">
        <f t="shared" si="1"/>
        <v>5274834.6400000006</v>
      </c>
      <c r="F14" s="114">
        <f>'New Single Family Housing'!J17+'New Single Family Housing'!J47+'New Single Family Housing'!J77+'New Single Family Housing'!J107+'New Single Family Housing'!J137+'New Single Family Housing'!J167+'New Single Family Housing'!J197+'New Single Family Housing'!J227+'New Single Family Housing'!J257+'New Single Family Housing'!J287</f>
        <v>64528.34224598929</v>
      </c>
      <c r="G14" s="114">
        <f>'New Single Family Housing'!K17+'New Single Family Housing'!K47+'New Single Family Housing'!K77+'New Single Family Housing'!K107+'New Single Family Housing'!K137+'New Single Family Housing'!K167+'New Single Family Housing'!K197+'New Single Family Housing'!K227+'New Single Family Housing'!K257+'New Single Family Housing'!K287</f>
        <v>60897.69</v>
      </c>
      <c r="H14" s="114">
        <f t="shared" si="2"/>
        <v>453698.39572192507</v>
      </c>
      <c r="I14" s="114">
        <f t="shared" si="3"/>
        <v>303631.17</v>
      </c>
      <c r="J14" s="114">
        <f>'New Single Family Housing'!O17+'New Single Family Housing'!O47+'New Single Family Housing'!O77+'New Single Family Housing'!O107+'New Single Family Housing'!O137+'New Single Family Housing'!O167+'New Single Family Housing'!O197+'New Single Family Housing'!O227+'New Single Family Housing'!O257+'New Single Family Housing'!O287</f>
        <v>0</v>
      </c>
      <c r="K14" s="114">
        <f>'New Single Family Housing'!P17+'New Single Family Housing'!P47+'New Single Family Housing'!P77+'New Single Family Housing'!P107+'New Single Family Housing'!P137+'New Single Family Housing'!P167+'New Single Family Housing'!P197+'New Single Family Housing'!P227+'New Single Family Housing'!P257+'New Single Family Housing'!P287</f>
        <v>0</v>
      </c>
      <c r="L14" s="114">
        <f t="shared" si="4"/>
        <v>0</v>
      </c>
      <c r="M14" s="114">
        <f t="shared" si="5"/>
        <v>0</v>
      </c>
    </row>
    <row r="15" spans="1:13" ht="15.5" x14ac:dyDescent="0.35">
      <c r="A15" s="65">
        <v>45292</v>
      </c>
      <c r="B15" s="113">
        <f>'New Single Family Housing'!E18+'New Single Family Housing'!E48+'New Single Family Housing'!E78+'New Single Family Housing'!E108+'New Single Family Housing'!E138+'New Single Family Housing'!E168+'New Single Family Housing'!E198+'New Single Family Housing'!E228+'New Single Family Housing'!E258+'New Single Family Housing'!E288</f>
        <v>1484966.1355956625</v>
      </c>
      <c r="C15" s="113">
        <f>'New Single Family Housing'!F18+'New Single Family Housing'!F48+'New Single Family Housing'!F78+'New Single Family Housing'!F108+'New Single Family Housing'!F138+'New Single Family Housing'!F168+'New Single Family Housing'!F198+'New Single Family Housing'!F228+'New Single Family Housing'!F258+'New Single Family Housing'!F288</f>
        <v>383693.61</v>
      </c>
      <c r="D15" s="114">
        <f t="shared" si="0"/>
        <v>11914079.838098634</v>
      </c>
      <c r="E15" s="114">
        <f t="shared" si="1"/>
        <v>5658528.2500000009</v>
      </c>
      <c r="F15" s="114">
        <f>'New Single Family Housing'!J18+'New Single Family Housing'!J48+'New Single Family Housing'!J78+'New Single Family Housing'!J108+'New Single Family Housing'!J138+'New Single Family Housing'!J168+'New Single Family Housing'!J198+'New Single Family Housing'!J228+'New Single Family Housing'!J258+'New Single Family Housing'!J288</f>
        <v>64528.34224598929</v>
      </c>
      <c r="G15" s="114">
        <f>'New Single Family Housing'!K18+'New Single Family Housing'!K48+'New Single Family Housing'!K78+'New Single Family Housing'!K108+'New Single Family Housing'!K138+'New Single Family Housing'!K168+'New Single Family Housing'!K198+'New Single Family Housing'!K228+'New Single Family Housing'!K258+'New Single Family Housing'!K288</f>
        <v>65372.91</v>
      </c>
      <c r="H15" s="114">
        <f t="shared" si="2"/>
        <v>518226.73796791438</v>
      </c>
      <c r="I15" s="114">
        <f t="shared" si="3"/>
        <v>369004.07999999996</v>
      </c>
      <c r="J15" s="114">
        <f>'New Single Family Housing'!O18+'New Single Family Housing'!O48+'New Single Family Housing'!O78+'New Single Family Housing'!O108+'New Single Family Housing'!O138+'New Single Family Housing'!O168+'New Single Family Housing'!O198+'New Single Family Housing'!O228+'New Single Family Housing'!O258+'New Single Family Housing'!O288</f>
        <v>17947.740000000002</v>
      </c>
      <c r="K15" s="114">
        <f>'New Single Family Housing'!P18+'New Single Family Housing'!P48+'New Single Family Housing'!P78+'New Single Family Housing'!P108+'New Single Family Housing'!P138+'New Single Family Housing'!P168+'New Single Family Housing'!P198+'New Single Family Housing'!P228+'New Single Family Housing'!P258+'New Single Family Housing'!P288</f>
        <v>65617.430000000008</v>
      </c>
      <c r="L15" s="114">
        <f t="shared" si="4"/>
        <v>17947.740000000002</v>
      </c>
      <c r="M15" s="114">
        <f t="shared" si="5"/>
        <v>65617.430000000008</v>
      </c>
    </row>
    <row r="16" spans="1:13" ht="15.5" x14ac:dyDescent="0.35">
      <c r="A16" s="65">
        <v>45383</v>
      </c>
      <c r="B16" s="113">
        <f>'New Single Family Housing'!E19+'New Single Family Housing'!E49+'New Single Family Housing'!E79+'New Single Family Housing'!E109+'New Single Family Housing'!E139+'New Single Family Housing'!E169+'New Single Family Housing'!E199+'New Single Family Housing'!E229+'New Single Family Housing'!E259+'New Single Family Housing'!E289</f>
        <v>1461435.5722623293</v>
      </c>
      <c r="C16" s="113">
        <f>'New Single Family Housing'!F19+'New Single Family Housing'!F49+'New Single Family Housing'!F79+'New Single Family Housing'!F109+'New Single Family Housing'!F139+'New Single Family Housing'!F169+'New Single Family Housing'!F199+'New Single Family Housing'!F229+'New Single Family Housing'!F259+'New Single Family Housing'!F289</f>
        <v>600126</v>
      </c>
      <c r="D16" s="114">
        <f t="shared" si="0"/>
        <v>13375515.410360964</v>
      </c>
      <c r="E16" s="114">
        <f t="shared" si="1"/>
        <v>6258654.2500000009</v>
      </c>
      <c r="F16" s="114">
        <f>'New Single Family Housing'!J19+'New Single Family Housing'!J49+'New Single Family Housing'!J79+'New Single Family Housing'!J109+'New Single Family Housing'!J139+'New Single Family Housing'!J169+'New Single Family Housing'!J199+'New Single Family Housing'!J229+'New Single Family Housing'!J259+'New Single Family Housing'!J289</f>
        <v>63278.34224598929</v>
      </c>
      <c r="G16" s="114">
        <f>'New Single Family Housing'!K19+'New Single Family Housing'!K49+'New Single Family Housing'!K79+'New Single Family Housing'!K109+'New Single Family Housing'!K139+'New Single Family Housing'!K169+'New Single Family Housing'!K199+'New Single Family Housing'!K229+'New Single Family Housing'!K259+'New Single Family Housing'!K289</f>
        <v>5505.34</v>
      </c>
      <c r="H16" s="114">
        <f t="shared" si="2"/>
        <v>581505.08021390368</v>
      </c>
      <c r="I16" s="114">
        <f t="shared" si="3"/>
        <v>374509.42</v>
      </c>
      <c r="J16" s="114">
        <f>'New Single Family Housing'!O19+'New Single Family Housing'!O49+'New Single Family Housing'!O79+'New Single Family Housing'!O109+'New Single Family Housing'!O139+'New Single Family Housing'!O169+'New Single Family Housing'!O199+'New Single Family Housing'!O229+'New Single Family Housing'!O259+'New Single Family Housing'!O289</f>
        <v>19718</v>
      </c>
      <c r="K16" s="114">
        <f>'New Single Family Housing'!P19+'New Single Family Housing'!P49+'New Single Family Housing'!P79+'New Single Family Housing'!P109+'New Single Family Housing'!P139+'New Single Family Housing'!P169+'New Single Family Housing'!P199+'New Single Family Housing'!P229+'New Single Family Housing'!P259+'New Single Family Housing'!P289</f>
        <v>0</v>
      </c>
      <c r="L16" s="114">
        <f t="shared" si="4"/>
        <v>37665.740000000005</v>
      </c>
      <c r="M16" s="114">
        <f>M15+K16</f>
        <v>65617.430000000008</v>
      </c>
    </row>
    <row r="17" spans="1:13" ht="15.5" x14ac:dyDescent="0.35">
      <c r="A17" s="65">
        <v>45474</v>
      </c>
      <c r="B17" s="113">
        <f>'New Single Family Housing'!E20+'New Single Family Housing'!E50+'New Single Family Housing'!E80+'New Single Family Housing'!E110+'New Single Family Housing'!E140+'New Single Family Housing'!E170+'New Single Family Housing'!E200+'New Single Family Housing'!E230+'New Single Family Housing'!E260+'New Single Family Housing'!E290</f>
        <v>1448153.0167067738</v>
      </c>
      <c r="C17" s="113">
        <f>'New Single Family Housing'!F20+'New Single Family Housing'!F50+'New Single Family Housing'!F80+'New Single Family Housing'!F110+'New Single Family Housing'!F140+'New Single Family Housing'!F170+'New Single Family Housing'!F200+'New Single Family Housing'!F230+'New Single Family Housing'!F260+'New Single Family Housing'!F290</f>
        <v>2162246.79</v>
      </c>
      <c r="D17" s="114">
        <f t="shared" si="0"/>
        <v>14823668.427067738</v>
      </c>
      <c r="E17" s="114">
        <f t="shared" si="1"/>
        <v>8420901.040000001</v>
      </c>
      <c r="F17" s="114">
        <f>'New Single Family Housing'!J20+'New Single Family Housing'!J50+'New Single Family Housing'!J80+'New Single Family Housing'!J110+'New Single Family Housing'!J140+'New Single Family Housing'!J170+'New Single Family Housing'!J200+'New Single Family Housing'!J230+'New Single Family Housing'!J260+'New Single Family Housing'!J290</f>
        <v>62611.675579322633</v>
      </c>
      <c r="G17" s="114">
        <f>'New Single Family Housing'!K20+'New Single Family Housing'!K50+'New Single Family Housing'!K80+'New Single Family Housing'!K110+'New Single Family Housing'!K140+'New Single Family Housing'!K170+'New Single Family Housing'!K200+'New Single Family Housing'!K230+'New Single Family Housing'!K260+'New Single Family Housing'!K290</f>
        <v>3227</v>
      </c>
      <c r="H17" s="114">
        <f t="shared" si="2"/>
        <v>644116.7557932263</v>
      </c>
      <c r="I17" s="114">
        <f t="shared" si="3"/>
        <v>377736.42</v>
      </c>
      <c r="J17" s="114">
        <f>'New Single Family Housing'!O20+'New Single Family Housing'!O50+'New Single Family Housing'!O80+'New Single Family Housing'!O110+'New Single Family Housing'!O140+'New Single Family Housing'!O170+'New Single Family Housing'!O200+'New Single Family Housing'!O230+'New Single Family Housing'!O260+'New Single Family Housing'!O290</f>
        <v>80000</v>
      </c>
      <c r="K17" s="114">
        <f>'New Single Family Housing'!P20+'New Single Family Housing'!P50+'New Single Family Housing'!P80+'New Single Family Housing'!P110+'New Single Family Housing'!P140+'New Single Family Housing'!P170+'New Single Family Housing'!P200+'New Single Family Housing'!P230+'New Single Family Housing'!P260+'New Single Family Housing'!P290</f>
        <v>123097.45</v>
      </c>
      <c r="L17" s="114">
        <f t="shared" si="4"/>
        <v>117665.74</v>
      </c>
      <c r="M17" s="114">
        <f t="shared" si="5"/>
        <v>188714.88</v>
      </c>
    </row>
    <row r="18" spans="1:13" ht="15.5" x14ac:dyDescent="0.35">
      <c r="A18" s="2">
        <v>45566</v>
      </c>
      <c r="B18" s="115">
        <f>'New Single Family Housing'!E21+'New Single Family Housing'!E51+'New Single Family Housing'!E81+'New Single Family Housing'!E111+'New Single Family Housing'!E141+'New Single Family Housing'!E171+'New Single Family Housing'!E201+'New Single Family Housing'!E231+'New Single Family Housing'!E261+'New Single Family Housing'!E291</f>
        <v>1405973.0167067738</v>
      </c>
      <c r="C18" s="115">
        <f>'New Single Family Housing'!F21+'New Single Family Housing'!F51+'New Single Family Housing'!F81+'New Single Family Housing'!F111+'New Single Family Housing'!F141+'New Single Family Housing'!F171+'New Single Family Housing'!F201+'New Single Family Housing'!F231+'New Single Family Housing'!F261+'New Single Family Housing'!F291</f>
        <v>0</v>
      </c>
      <c r="D18" s="33">
        <f t="shared" si="0"/>
        <v>16229641.443774512</v>
      </c>
      <c r="E18" s="33">
        <f t="shared" si="1"/>
        <v>8420901.040000001</v>
      </c>
      <c r="F18" s="33">
        <f>'New Single Family Housing'!J21+'New Single Family Housing'!J51+'New Single Family Housing'!J81+'New Single Family Housing'!J111+'New Single Family Housing'!J141+'New Single Family Housing'!J171+'New Single Family Housing'!J201+'New Single Family Housing'!J231+'New Single Family Housing'!J261+'New Single Family Housing'!J291</f>
        <v>60211.675579322633</v>
      </c>
      <c r="G18" s="33">
        <f>'New Single Family Housing'!K21+'New Single Family Housing'!K51+'New Single Family Housing'!K81+'New Single Family Housing'!K111+'New Single Family Housing'!K141+'New Single Family Housing'!K171+'New Single Family Housing'!K201+'New Single Family Housing'!K231+'New Single Family Housing'!K261+'New Single Family Housing'!K291</f>
        <v>0</v>
      </c>
      <c r="H18" s="33">
        <f t="shared" si="2"/>
        <v>704328.43137254892</v>
      </c>
      <c r="I18" s="33">
        <f t="shared" si="3"/>
        <v>377736.42</v>
      </c>
      <c r="J18" s="33">
        <f>'New Single Family Housing'!O21+'New Single Family Housing'!O51+'New Single Family Housing'!O81+'New Single Family Housing'!O111+'New Single Family Housing'!O141+'New Single Family Housing'!O171+'New Single Family Housing'!O201+'New Single Family Housing'!O231+'New Single Family Housing'!O261+'New Single Family Housing'!O291</f>
        <v>60000</v>
      </c>
      <c r="K18" s="33">
        <f>'New Single Family Housing'!P21+'New Single Family Housing'!P51+'New Single Family Housing'!P81+'New Single Family Housing'!P111+'New Single Family Housing'!P141+'New Single Family Housing'!P171+'New Single Family Housing'!P201+'New Single Family Housing'!P231+'New Single Family Housing'!P261+'New Single Family Housing'!P291</f>
        <v>0</v>
      </c>
      <c r="L18" s="33">
        <f t="shared" si="4"/>
        <v>177665.74</v>
      </c>
      <c r="M18" s="33">
        <f t="shared" si="5"/>
        <v>188714.88</v>
      </c>
    </row>
    <row r="19" spans="1:13" ht="15.5" x14ac:dyDescent="0.35">
      <c r="A19" s="2">
        <v>45658</v>
      </c>
      <c r="B19" s="115">
        <f>'New Single Family Housing'!E22+'New Single Family Housing'!E52+'New Single Family Housing'!E82+'New Single Family Housing'!E112+'New Single Family Housing'!E142+'New Single Family Housing'!E172+'New Single Family Housing'!E202+'New Single Family Housing'!E232+'New Single Family Housing'!E262+'New Single Family Housing'!E292</f>
        <v>1378440.3803431373</v>
      </c>
      <c r="C19" s="115">
        <f>'New Single Family Housing'!F22+'New Single Family Housing'!F52+'New Single Family Housing'!F82+'New Single Family Housing'!F112+'New Single Family Housing'!F142+'New Single Family Housing'!F172+'New Single Family Housing'!F202+'New Single Family Housing'!F232+'New Single Family Housing'!F262+'New Single Family Housing'!F292</f>
        <v>0</v>
      </c>
      <c r="D19" s="33">
        <f t="shared" si="0"/>
        <v>17608081.824117649</v>
      </c>
      <c r="E19" s="33">
        <f t="shared" si="1"/>
        <v>8420901.040000001</v>
      </c>
      <c r="F19" s="33">
        <f>'New Single Family Housing'!J22+'New Single Family Housing'!J52+'New Single Family Housing'!J82+'New Single Family Housing'!J112+'New Single Family Housing'!J142+'New Single Family Housing'!J172+'New Single Family Housing'!J202+'New Single Family Housing'!J232+'New Single Family Housing'!J262+'New Single Family Housing'!J292</f>
        <v>58848.039215686265</v>
      </c>
      <c r="G19" s="33">
        <f>'New Single Family Housing'!K22+'New Single Family Housing'!K52+'New Single Family Housing'!K82+'New Single Family Housing'!K112+'New Single Family Housing'!K142+'New Single Family Housing'!K172+'New Single Family Housing'!K202+'New Single Family Housing'!K232+'New Single Family Housing'!K262+'New Single Family Housing'!K292</f>
        <v>0</v>
      </c>
      <c r="H19" s="33">
        <f t="shared" si="2"/>
        <v>763176.47058823518</v>
      </c>
      <c r="I19" s="33">
        <f t="shared" si="3"/>
        <v>377736.42</v>
      </c>
      <c r="J19" s="33">
        <f>'New Single Family Housing'!O22+'New Single Family Housing'!O52+'New Single Family Housing'!O82+'New Single Family Housing'!O112+'New Single Family Housing'!O142+'New Single Family Housing'!O172+'New Single Family Housing'!O202+'New Single Family Housing'!O232+'New Single Family Housing'!O262+'New Single Family Housing'!O292</f>
        <v>2180000</v>
      </c>
      <c r="K19" s="33">
        <f>'New Single Family Housing'!P22+'New Single Family Housing'!P52+'New Single Family Housing'!P82+'New Single Family Housing'!P112+'New Single Family Housing'!P142+'New Single Family Housing'!P172+'New Single Family Housing'!P202+'New Single Family Housing'!P232+'New Single Family Housing'!P262+'New Single Family Housing'!P292</f>
        <v>0</v>
      </c>
      <c r="L19" s="33">
        <f t="shared" si="4"/>
        <v>2357665.7400000002</v>
      </c>
      <c r="M19" s="33">
        <f>M18+K19</f>
        <v>188714.88</v>
      </c>
    </row>
    <row r="20" spans="1:13" ht="15.5" x14ac:dyDescent="0.35">
      <c r="A20" s="2">
        <v>45748</v>
      </c>
      <c r="B20" s="115">
        <f>'New Single Family Housing'!E23+'New Single Family Housing'!E53+'New Single Family Housing'!E83+'New Single Family Housing'!E113+'New Single Family Housing'!E143+'New Single Family Housing'!E173+'New Single Family Housing'!E203+'New Single Family Housing'!E233+'New Single Family Housing'!E263+'New Single Family Housing'!E293</f>
        <v>356088.9411764706</v>
      </c>
      <c r="C20" s="115">
        <f>'New Single Family Housing'!F23+'New Single Family Housing'!F53+'New Single Family Housing'!F83+'New Single Family Housing'!F113+'New Single Family Housing'!F143+'New Single Family Housing'!F173+'New Single Family Housing'!F203+'New Single Family Housing'!F233+'New Single Family Housing'!F263+'New Single Family Housing'!F293</f>
        <v>0</v>
      </c>
      <c r="D20" s="33">
        <f t="shared" si="0"/>
        <v>17964170.76529412</v>
      </c>
      <c r="E20" s="33">
        <f t="shared" si="1"/>
        <v>8420901.040000001</v>
      </c>
      <c r="F20" s="33">
        <f>'New Single Family Housing'!J23+'New Single Family Housing'!J53+'New Single Family Housing'!J83+'New Single Family Housing'!J113+'New Single Family Housing'!J143+'New Single Family Housing'!J173+'New Single Family Housing'!J203+'New Single Family Housing'!J233+'New Single Family Housing'!J263+'New Single Family Housing'!J293</f>
        <v>11764.705882352941</v>
      </c>
      <c r="G20" s="33">
        <f>'New Single Family Housing'!K23+'New Single Family Housing'!K53+'New Single Family Housing'!K83+'New Single Family Housing'!K113+'New Single Family Housing'!K143+'New Single Family Housing'!K173+'New Single Family Housing'!K203+'New Single Family Housing'!K233+'New Single Family Housing'!K263+'New Single Family Housing'!K293</f>
        <v>0</v>
      </c>
      <c r="H20" s="33">
        <f t="shared" si="2"/>
        <v>774941.17647058808</v>
      </c>
      <c r="I20" s="33">
        <f t="shared" si="3"/>
        <v>377736.42</v>
      </c>
      <c r="J20" s="33">
        <f>'New Single Family Housing'!O23+'New Single Family Housing'!O53+'New Single Family Housing'!O83+'New Single Family Housing'!O113+'New Single Family Housing'!O143+'New Single Family Housing'!O173+'New Single Family Housing'!O203+'New Single Family Housing'!O233+'New Single Family Housing'!O263+'New Single Family Housing'!O293</f>
        <v>0</v>
      </c>
      <c r="K20" s="33">
        <f>'New Single Family Housing'!P23+'New Single Family Housing'!P53+'New Single Family Housing'!P83+'New Single Family Housing'!P113+'New Single Family Housing'!P143+'New Single Family Housing'!P173+'New Single Family Housing'!P203+'New Single Family Housing'!P233+'New Single Family Housing'!P263+'New Single Family Housing'!P293</f>
        <v>0</v>
      </c>
      <c r="L20" s="33">
        <f t="shared" si="4"/>
        <v>2357665.7400000002</v>
      </c>
      <c r="M20" s="33">
        <f t="shared" si="5"/>
        <v>188714.88</v>
      </c>
    </row>
    <row r="21" spans="1:13" ht="15.5" x14ac:dyDescent="0.35">
      <c r="A21" s="2">
        <v>45839</v>
      </c>
      <c r="B21" s="115">
        <f>'New Single Family Housing'!E24+'New Single Family Housing'!E54+'New Single Family Housing'!E84+'New Single Family Housing'!E114+'New Single Family Housing'!E144+'New Single Family Housing'!E174+'New Single Family Housing'!E204+'New Single Family Housing'!E234+'New Single Family Housing'!E264+'New Single Family Housing'!E294</f>
        <v>356088.9411764706</v>
      </c>
      <c r="C21" s="115">
        <f>'New Single Family Housing'!F24+'New Single Family Housing'!F54+'New Single Family Housing'!F84+'New Single Family Housing'!F114+'New Single Family Housing'!F144+'New Single Family Housing'!F174+'New Single Family Housing'!F204+'New Single Family Housing'!F234+'New Single Family Housing'!F264+'New Single Family Housing'!F294</f>
        <v>0</v>
      </c>
      <c r="D21" s="33">
        <f t="shared" si="0"/>
        <v>18320259.70647059</v>
      </c>
      <c r="E21" s="33">
        <f t="shared" si="1"/>
        <v>8420901.040000001</v>
      </c>
      <c r="F21" s="33">
        <f>'New Single Family Housing'!J24+'New Single Family Housing'!J54+'New Single Family Housing'!J84+'New Single Family Housing'!J114+'New Single Family Housing'!J144+'New Single Family Housing'!J174+'New Single Family Housing'!J204+'New Single Family Housing'!J234+'New Single Family Housing'!J264+'New Single Family Housing'!J294</f>
        <v>11764.705882352941</v>
      </c>
      <c r="G21" s="33">
        <f>'New Single Family Housing'!K24+'New Single Family Housing'!K54+'New Single Family Housing'!K84+'New Single Family Housing'!K114+'New Single Family Housing'!K144+'New Single Family Housing'!K174+'New Single Family Housing'!K204+'New Single Family Housing'!K234+'New Single Family Housing'!K264+'New Single Family Housing'!K294</f>
        <v>0</v>
      </c>
      <c r="H21" s="33">
        <f t="shared" si="2"/>
        <v>786705.88235294097</v>
      </c>
      <c r="I21" s="33">
        <f t="shared" si="3"/>
        <v>377736.42</v>
      </c>
      <c r="J21" s="33">
        <f>'New Single Family Housing'!O24+'New Single Family Housing'!O54+'New Single Family Housing'!O84+'New Single Family Housing'!O114+'New Single Family Housing'!O144+'New Single Family Housing'!O174+'New Single Family Housing'!O204+'New Single Family Housing'!O234+'New Single Family Housing'!O264+'New Single Family Housing'!O294</f>
        <v>0</v>
      </c>
      <c r="K21" s="33">
        <f>'New Single Family Housing'!P24+'New Single Family Housing'!P54+'New Single Family Housing'!P84+'New Single Family Housing'!P114+'New Single Family Housing'!P144+'New Single Family Housing'!P174+'New Single Family Housing'!P204+'New Single Family Housing'!P234+'New Single Family Housing'!P264+'New Single Family Housing'!P294</f>
        <v>0</v>
      </c>
      <c r="L21" s="33">
        <f t="shared" si="4"/>
        <v>2357665.7400000002</v>
      </c>
      <c r="M21" s="33">
        <f t="shared" si="5"/>
        <v>188714.88</v>
      </c>
    </row>
    <row r="22" spans="1:13" ht="15.5" x14ac:dyDescent="0.35">
      <c r="A22" s="2">
        <v>45931</v>
      </c>
      <c r="B22" s="115">
        <f>'New Single Family Housing'!E25+'New Single Family Housing'!E55+'New Single Family Housing'!E85+'New Single Family Housing'!E115+'New Single Family Housing'!E145+'New Single Family Housing'!E175+'New Single Family Housing'!E205+'New Single Family Housing'!E235+'New Single Family Housing'!E265+'New Single Family Housing'!E295</f>
        <v>356088.9411764706</v>
      </c>
      <c r="C22" s="115">
        <f>'New Single Family Housing'!F25+'New Single Family Housing'!F55+'New Single Family Housing'!F85+'New Single Family Housing'!F115+'New Single Family Housing'!F145+'New Single Family Housing'!F175+'New Single Family Housing'!F205+'New Single Family Housing'!F235+'New Single Family Housing'!F265+'New Single Family Housing'!F295</f>
        <v>0</v>
      </c>
      <c r="D22" s="33">
        <f t="shared" si="0"/>
        <v>18676348.64764706</v>
      </c>
      <c r="E22" s="33">
        <f t="shared" si="1"/>
        <v>8420901.040000001</v>
      </c>
      <c r="F22" s="33">
        <f>'New Single Family Housing'!J25+'New Single Family Housing'!J55+'New Single Family Housing'!J85+'New Single Family Housing'!J115+'New Single Family Housing'!J145+'New Single Family Housing'!J175+'New Single Family Housing'!J205+'New Single Family Housing'!J235+'New Single Family Housing'!J265+'New Single Family Housing'!J295</f>
        <v>11764.705882352941</v>
      </c>
      <c r="G22" s="33">
        <f>'New Single Family Housing'!K25+'New Single Family Housing'!K55+'New Single Family Housing'!K85+'New Single Family Housing'!K115+'New Single Family Housing'!K145+'New Single Family Housing'!K175+'New Single Family Housing'!K205+'New Single Family Housing'!K235+'New Single Family Housing'!K265+'New Single Family Housing'!K295</f>
        <v>0</v>
      </c>
      <c r="H22" s="33">
        <f t="shared" si="2"/>
        <v>798470.58823529386</v>
      </c>
      <c r="I22" s="33">
        <f t="shared" si="3"/>
        <v>377736.42</v>
      </c>
      <c r="J22" s="33">
        <f>'New Single Family Housing'!O25+'New Single Family Housing'!O55+'New Single Family Housing'!O85+'New Single Family Housing'!O115+'New Single Family Housing'!O145+'New Single Family Housing'!O175+'New Single Family Housing'!O205+'New Single Family Housing'!O235+'New Single Family Housing'!O265+'New Single Family Housing'!O295</f>
        <v>0</v>
      </c>
      <c r="K22" s="33">
        <f>'New Single Family Housing'!P25+'New Single Family Housing'!P55+'New Single Family Housing'!P85+'New Single Family Housing'!P115+'New Single Family Housing'!P145+'New Single Family Housing'!P175+'New Single Family Housing'!P205+'New Single Family Housing'!P235+'New Single Family Housing'!P265+'New Single Family Housing'!P295</f>
        <v>0</v>
      </c>
      <c r="L22" s="33">
        <f t="shared" si="4"/>
        <v>2357665.7400000002</v>
      </c>
      <c r="M22" s="33">
        <f t="shared" si="5"/>
        <v>188714.88</v>
      </c>
    </row>
    <row r="23" spans="1:13" ht="15.5" x14ac:dyDescent="0.35">
      <c r="A23" s="2">
        <v>46023</v>
      </c>
      <c r="B23" s="115">
        <f>'New Single Family Housing'!E26+'New Single Family Housing'!E56+'New Single Family Housing'!E86+'New Single Family Housing'!E116+'New Single Family Housing'!E146+'New Single Family Housing'!E176+'New Single Family Housing'!E206+'New Single Family Housing'!E236+'New Single Family Housing'!E266+'New Single Family Housing'!E296</f>
        <v>356088.9411764706</v>
      </c>
      <c r="C23" s="115">
        <f>'New Single Family Housing'!F26+'New Single Family Housing'!F56+'New Single Family Housing'!F86+'New Single Family Housing'!F116+'New Single Family Housing'!F146+'New Single Family Housing'!F176+'New Single Family Housing'!F206+'New Single Family Housing'!F236+'New Single Family Housing'!F266+'New Single Family Housing'!F296</f>
        <v>0</v>
      </c>
      <c r="D23" s="33">
        <f t="shared" si="0"/>
        <v>19032437.588823531</v>
      </c>
      <c r="E23" s="33">
        <f t="shared" si="1"/>
        <v>8420901.040000001</v>
      </c>
      <c r="F23" s="33">
        <f>'New Single Family Housing'!J26+'New Single Family Housing'!J56+'New Single Family Housing'!J86+'New Single Family Housing'!J116+'New Single Family Housing'!J146+'New Single Family Housing'!J176+'New Single Family Housing'!J206+'New Single Family Housing'!J236+'New Single Family Housing'!J266+'New Single Family Housing'!J296</f>
        <v>11764.705882352941</v>
      </c>
      <c r="G23" s="33">
        <f>'New Single Family Housing'!K26+'New Single Family Housing'!K56+'New Single Family Housing'!K86+'New Single Family Housing'!K116+'New Single Family Housing'!K146+'New Single Family Housing'!K176+'New Single Family Housing'!K206+'New Single Family Housing'!K236+'New Single Family Housing'!K266+'New Single Family Housing'!K296</f>
        <v>0</v>
      </c>
      <c r="H23" s="33">
        <f t="shared" si="2"/>
        <v>810235.29411764676</v>
      </c>
      <c r="I23" s="33">
        <f t="shared" si="3"/>
        <v>377736.42</v>
      </c>
      <c r="J23" s="33">
        <f>'New Single Family Housing'!O26+'New Single Family Housing'!O56+'New Single Family Housing'!O86+'New Single Family Housing'!O116+'New Single Family Housing'!O146+'New Single Family Housing'!O176+'New Single Family Housing'!O206+'New Single Family Housing'!O236+'New Single Family Housing'!O266+'New Single Family Housing'!O296</f>
        <v>0</v>
      </c>
      <c r="K23" s="33">
        <f>'New Single Family Housing'!P26+'New Single Family Housing'!P56+'New Single Family Housing'!P86+'New Single Family Housing'!P116+'New Single Family Housing'!P146+'New Single Family Housing'!P176+'New Single Family Housing'!P206+'New Single Family Housing'!P236+'New Single Family Housing'!P266+'New Single Family Housing'!P296</f>
        <v>0</v>
      </c>
      <c r="L23" s="33">
        <f t="shared" si="4"/>
        <v>2357665.7400000002</v>
      </c>
      <c r="M23" s="33">
        <f t="shared" si="5"/>
        <v>188714.88</v>
      </c>
    </row>
    <row r="24" spans="1:13" ht="15.5" x14ac:dyDescent="0.35">
      <c r="A24" s="2">
        <v>46113</v>
      </c>
      <c r="B24" s="115">
        <f>'New Single Family Housing'!E27+'New Single Family Housing'!E57+'New Single Family Housing'!E87+'New Single Family Housing'!E117+'New Single Family Housing'!E147+'New Single Family Housing'!E177+'New Single Family Housing'!E207+'New Single Family Housing'!E237+'New Single Family Housing'!E267+'New Single Family Housing'!E297</f>
        <v>356088.9411764706</v>
      </c>
      <c r="C24" s="115">
        <f>'New Single Family Housing'!F27+'New Single Family Housing'!F57+'New Single Family Housing'!F87+'New Single Family Housing'!F117+'New Single Family Housing'!F147+'New Single Family Housing'!F177+'New Single Family Housing'!F207+'New Single Family Housing'!F237+'New Single Family Housing'!F267+'New Single Family Housing'!F297</f>
        <v>0</v>
      </c>
      <c r="D24" s="33">
        <f t="shared" si="0"/>
        <v>19388526.530000001</v>
      </c>
      <c r="E24" s="33">
        <f t="shared" si="1"/>
        <v>8420901.040000001</v>
      </c>
      <c r="F24" s="33">
        <f>'New Single Family Housing'!J27+'New Single Family Housing'!J57+'New Single Family Housing'!J87+'New Single Family Housing'!J117+'New Single Family Housing'!J147+'New Single Family Housing'!J177+'New Single Family Housing'!J207+'New Single Family Housing'!J237+'New Single Family Housing'!J267+'New Single Family Housing'!J297</f>
        <v>11764.705882352941</v>
      </c>
      <c r="G24" s="33">
        <f>'New Single Family Housing'!K27+'New Single Family Housing'!K57+'New Single Family Housing'!K87+'New Single Family Housing'!K117+'New Single Family Housing'!K147+'New Single Family Housing'!K177+'New Single Family Housing'!K207+'New Single Family Housing'!K237+'New Single Family Housing'!K267+'New Single Family Housing'!K297</f>
        <v>0</v>
      </c>
      <c r="H24" s="33">
        <f t="shared" si="2"/>
        <v>821999.99999999965</v>
      </c>
      <c r="I24" s="33">
        <f t="shared" si="3"/>
        <v>377736.42</v>
      </c>
      <c r="J24" s="33">
        <f>'New Single Family Housing'!O27+'New Single Family Housing'!O57+'New Single Family Housing'!O87+'New Single Family Housing'!O117+'New Single Family Housing'!O147+'New Single Family Housing'!O177+'New Single Family Housing'!O207+'New Single Family Housing'!O237+'New Single Family Housing'!O267+'New Single Family Housing'!O297</f>
        <v>800000</v>
      </c>
      <c r="K24" s="33">
        <f>'New Single Family Housing'!P27+'New Single Family Housing'!P57+'New Single Family Housing'!P87+'New Single Family Housing'!P117+'New Single Family Housing'!P147+'New Single Family Housing'!P177+'New Single Family Housing'!P207+'New Single Family Housing'!P237+'New Single Family Housing'!P267+'New Single Family Housing'!P297</f>
        <v>0</v>
      </c>
      <c r="L24" s="33">
        <f t="shared" si="4"/>
        <v>3157665.74</v>
      </c>
      <c r="M24" s="33">
        <f t="shared" si="5"/>
        <v>188714.88</v>
      </c>
    </row>
    <row r="25" spans="1:13" ht="15.5" x14ac:dyDescent="0.35">
      <c r="A25" s="2">
        <v>46204</v>
      </c>
      <c r="B25" s="115">
        <f>'New Single Family Housing'!E28+'New Single Family Housing'!E58+'New Single Family Housing'!E88+'New Single Family Housing'!E118+'New Single Family Housing'!E148+'New Single Family Housing'!E178+'New Single Family Housing'!E208+'New Single Family Housing'!E238+'New Single Family Housing'!E268+'New Single Family Housing'!E298</f>
        <v>0</v>
      </c>
      <c r="C25" s="115">
        <f>'New Single Family Housing'!F28+'New Single Family Housing'!F58+'New Single Family Housing'!F88+'New Single Family Housing'!F118+'New Single Family Housing'!F148+'New Single Family Housing'!F178+'New Single Family Housing'!F208+'New Single Family Housing'!F238+'New Single Family Housing'!F268+'New Single Family Housing'!F298</f>
        <v>0</v>
      </c>
      <c r="D25" s="33">
        <f t="shared" si="0"/>
        <v>19388526.530000001</v>
      </c>
      <c r="E25" s="33">
        <f t="shared" si="1"/>
        <v>8420901.040000001</v>
      </c>
      <c r="F25" s="33">
        <f>'New Single Family Housing'!J28+'New Single Family Housing'!J58+'New Single Family Housing'!J88+'New Single Family Housing'!J118+'New Single Family Housing'!J148+'New Single Family Housing'!J178+'New Single Family Housing'!J208+'New Single Family Housing'!J238+'New Single Family Housing'!J268+'New Single Family Housing'!J298</f>
        <v>0</v>
      </c>
      <c r="G25" s="33">
        <f>'New Single Family Housing'!K28+'New Single Family Housing'!K58+'New Single Family Housing'!K88+'New Single Family Housing'!K118+'New Single Family Housing'!K148+'New Single Family Housing'!K178+'New Single Family Housing'!K208+'New Single Family Housing'!K238+'New Single Family Housing'!K268+'New Single Family Housing'!K298</f>
        <v>0</v>
      </c>
      <c r="H25" s="33">
        <f t="shared" si="2"/>
        <v>821999.99999999965</v>
      </c>
      <c r="I25" s="33">
        <f t="shared" si="3"/>
        <v>377736.42</v>
      </c>
      <c r="J25" s="33">
        <f>'New Single Family Housing'!O28+'New Single Family Housing'!O58+'New Single Family Housing'!O88+'New Single Family Housing'!O118+'New Single Family Housing'!O148+'New Single Family Housing'!O178+'New Single Family Housing'!O208+'New Single Family Housing'!O238+'New Single Family Housing'!O268+'New Single Family Housing'!O298</f>
        <v>0</v>
      </c>
      <c r="K25" s="33">
        <f>'New Single Family Housing'!P28+'New Single Family Housing'!P58+'New Single Family Housing'!P88+'New Single Family Housing'!P118+'New Single Family Housing'!P148+'New Single Family Housing'!P178+'New Single Family Housing'!P208+'New Single Family Housing'!P238+'New Single Family Housing'!P268+'New Single Family Housing'!P298</f>
        <v>0</v>
      </c>
      <c r="L25" s="33">
        <f t="shared" si="4"/>
        <v>3157665.74</v>
      </c>
      <c r="M25" s="33">
        <f t="shared" si="5"/>
        <v>188714.88</v>
      </c>
    </row>
    <row r="26" spans="1:13" ht="16" thickBot="1" x14ac:dyDescent="0.4">
      <c r="A26" s="57" t="s">
        <v>38</v>
      </c>
      <c r="B26" s="58">
        <f>SUM(B2:B25)</f>
        <v>19388526.530000001</v>
      </c>
      <c r="C26" s="58">
        <f>SUM(C2:C25)</f>
        <v>8420901.040000001</v>
      </c>
      <c r="D26" s="60">
        <f>D25</f>
        <v>19388526.530000001</v>
      </c>
      <c r="E26" s="60">
        <f>E25</f>
        <v>8420901.040000001</v>
      </c>
      <c r="F26" s="60">
        <f>SUM(F2:F25)</f>
        <v>821999.99999999965</v>
      </c>
      <c r="G26" s="60">
        <f>SUM(G2:G25)</f>
        <v>377736.42</v>
      </c>
      <c r="H26" s="60">
        <f>H25</f>
        <v>821999.99999999965</v>
      </c>
      <c r="I26" s="60">
        <f>I25</f>
        <v>377736.42</v>
      </c>
      <c r="J26" s="60">
        <f>SUM(J2:J25)</f>
        <v>3157665.74</v>
      </c>
      <c r="K26" s="60">
        <f>K25</f>
        <v>0</v>
      </c>
      <c r="L26" s="60">
        <f>L25</f>
        <v>3157665.74</v>
      </c>
      <c r="M26" s="60">
        <f>M25</f>
        <v>188714.88</v>
      </c>
    </row>
    <row r="27" spans="1:13" x14ac:dyDescent="0.35">
      <c r="A27" s="63" t="s">
        <v>74</v>
      </c>
      <c r="B27" s="33">
        <f>D26+H26+L26</f>
        <v>23368192.270000003</v>
      </c>
      <c r="C27" s="33"/>
      <c r="E27" s="33"/>
      <c r="G27" s="33"/>
      <c r="I27" s="33"/>
    </row>
    <row r="28" spans="1:13" x14ac:dyDescent="0.35">
      <c r="A28" s="63" t="s">
        <v>75</v>
      </c>
      <c r="B28" s="33">
        <f>E26+I26+M26</f>
        <v>8987352.3400000017</v>
      </c>
      <c r="G28" s="33"/>
    </row>
    <row r="29" spans="1:13" x14ac:dyDescent="0.35">
      <c r="J29" s="33"/>
      <c r="K29" s="33"/>
    </row>
    <row r="30" spans="1:13" ht="29" x14ac:dyDescent="0.35">
      <c r="A30" s="54" t="s">
        <v>26</v>
      </c>
      <c r="B30" s="55" t="s">
        <v>28</v>
      </c>
      <c r="C30" s="56" t="s">
        <v>32</v>
      </c>
      <c r="D30" s="56" t="s">
        <v>29</v>
      </c>
      <c r="E30" s="56" t="s">
        <v>33</v>
      </c>
      <c r="F30" s="55" t="s">
        <v>35</v>
      </c>
      <c r="G30" s="56" t="s">
        <v>34</v>
      </c>
      <c r="H30" s="56" t="s">
        <v>36</v>
      </c>
      <c r="I30" s="56" t="s">
        <v>37</v>
      </c>
      <c r="J30" s="126"/>
    </row>
    <row r="31" spans="1:13" ht="15.5" x14ac:dyDescent="0.35">
      <c r="A31" s="65">
        <v>44105</v>
      </c>
      <c r="B31" s="113">
        <f>'New Rental Housing'!E4+'New Rental Housing'!E34+'New Rental Housing'!E64+'New Rental Housing'!E94+'New Rental Housing'!E124+'New Rental Housing'!E154+'New Rental Housing'!E184+'New Rental Housing'!E214+'New Rental Housing'!E244</f>
        <v>0</v>
      </c>
      <c r="C31" s="113">
        <f>'New Rental Housing'!F4+'New Rental Housing'!F34+'New Rental Housing'!F64+'New Rental Housing'!F94+'New Rental Housing'!F124+'New Rental Housing'!F154+'New Rental Housing'!F184+'New Rental Housing'!F214+'New Rental Housing'!F244</f>
        <v>0</v>
      </c>
      <c r="D31" s="114">
        <f>B31</f>
        <v>0</v>
      </c>
      <c r="E31" s="114">
        <f>C31</f>
        <v>0</v>
      </c>
      <c r="F31" s="114">
        <f>'New Rental Housing'!J4+'New Rental Housing'!J34+'New Rental Housing'!J64+'New Rental Housing'!J94+'New Rental Housing'!J124+'New Rental Housing'!J154+'New Rental Housing'!J184+'New Rental Housing'!J214+'New Rental Housing'!J244</f>
        <v>0</v>
      </c>
      <c r="G31" s="114">
        <f>'New Rental Housing'!K4+'New Rental Housing'!K34+'New Rental Housing'!K64+'New Rental Housing'!K94+'New Rental Housing'!K124+'New Rental Housing'!K154+'New Rental Housing'!K184+'New Rental Housing'!K214+'New Rental Housing'!K244</f>
        <v>0</v>
      </c>
      <c r="H31" s="114">
        <f>F31</f>
        <v>0</v>
      </c>
      <c r="I31" s="114">
        <f>G31</f>
        <v>0</v>
      </c>
    </row>
    <row r="32" spans="1:13" ht="15.5" x14ac:dyDescent="0.35">
      <c r="A32" s="65">
        <v>44197</v>
      </c>
      <c r="B32" s="113">
        <f>'New Rental Housing'!E5+'New Rental Housing'!E35+'New Rental Housing'!E65+'New Rental Housing'!E95+'New Rental Housing'!E125+'New Rental Housing'!E155+'New Rental Housing'!E185+'New Rental Housing'!E215+'New Rental Housing'!E245</f>
        <v>0</v>
      </c>
      <c r="C32" s="113">
        <f>'New Rental Housing'!F5+'New Rental Housing'!F35+'New Rental Housing'!F65+'New Rental Housing'!F95+'New Rental Housing'!F125+'New Rental Housing'!F155+'New Rental Housing'!F185+'New Rental Housing'!F215+'New Rental Housing'!F245</f>
        <v>0</v>
      </c>
      <c r="D32" s="114">
        <f>D31+B32</f>
        <v>0</v>
      </c>
      <c r="E32" s="114">
        <f>E31+C32</f>
        <v>0</v>
      </c>
      <c r="F32" s="114">
        <f>'New Rental Housing'!J5+'New Rental Housing'!J35+'New Rental Housing'!J65+'New Rental Housing'!J95+'New Rental Housing'!J125+'New Rental Housing'!J155+'New Rental Housing'!J185+'New Rental Housing'!J215+'New Rental Housing'!J245</f>
        <v>0</v>
      </c>
      <c r="G32" s="114">
        <f>'New Rental Housing'!K5+'New Rental Housing'!K35+'New Rental Housing'!K65+'New Rental Housing'!K95+'New Rental Housing'!K125+'New Rental Housing'!K155+'New Rental Housing'!K185+'New Rental Housing'!K215+'New Rental Housing'!K245</f>
        <v>0</v>
      </c>
      <c r="H32" s="114">
        <f>H31+F32</f>
        <v>0</v>
      </c>
      <c r="I32" s="114">
        <f>I31+G32</f>
        <v>0</v>
      </c>
    </row>
    <row r="33" spans="1:9" ht="15.5" x14ac:dyDescent="0.35">
      <c r="A33" s="65">
        <v>44287</v>
      </c>
      <c r="B33" s="113">
        <f>'New Rental Housing'!E6+'New Rental Housing'!E36+'New Rental Housing'!E66+'New Rental Housing'!E96+'New Rental Housing'!E126+'New Rental Housing'!E156+'New Rental Housing'!E186+'New Rental Housing'!E216+'New Rental Housing'!E246</f>
        <v>0</v>
      </c>
      <c r="C33" s="113">
        <f>'New Rental Housing'!F6+'New Rental Housing'!F36+'New Rental Housing'!F66+'New Rental Housing'!F96+'New Rental Housing'!F126+'New Rental Housing'!F156+'New Rental Housing'!F186+'New Rental Housing'!F216+'New Rental Housing'!F246</f>
        <v>0</v>
      </c>
      <c r="D33" s="114">
        <f t="shared" ref="D33:D54" si="6">D32+B33</f>
        <v>0</v>
      </c>
      <c r="E33" s="114">
        <f t="shared" ref="E33:E54" si="7">E32+C33</f>
        <v>0</v>
      </c>
      <c r="F33" s="114">
        <f>'New Rental Housing'!J6+'New Rental Housing'!J36+'New Rental Housing'!J66+'New Rental Housing'!J96+'New Rental Housing'!J126+'New Rental Housing'!J156+'New Rental Housing'!J186+'New Rental Housing'!J216+'New Rental Housing'!J246</f>
        <v>0</v>
      </c>
      <c r="G33" s="114">
        <f>'New Rental Housing'!K6+'New Rental Housing'!K36+'New Rental Housing'!K66+'New Rental Housing'!K96+'New Rental Housing'!K126+'New Rental Housing'!K156+'New Rental Housing'!K186+'New Rental Housing'!K216+'New Rental Housing'!K246</f>
        <v>0</v>
      </c>
      <c r="H33" s="114">
        <f t="shared" ref="H33:H54" si="8">H32+F33</f>
        <v>0</v>
      </c>
      <c r="I33" s="114">
        <f t="shared" ref="I33:I54" si="9">I32+G33</f>
        <v>0</v>
      </c>
    </row>
    <row r="34" spans="1:9" ht="15.5" x14ac:dyDescent="0.35">
      <c r="A34" s="65">
        <v>44378</v>
      </c>
      <c r="B34" s="113">
        <f>'New Rental Housing'!E7+'New Rental Housing'!E37+'New Rental Housing'!E67+'New Rental Housing'!E97+'New Rental Housing'!E127+'New Rental Housing'!E157+'New Rental Housing'!E187+'New Rental Housing'!E217+'New Rental Housing'!E247</f>
        <v>773275.36630036635</v>
      </c>
      <c r="C34" s="113">
        <f>'New Rental Housing'!F7+'New Rental Housing'!F37+'New Rental Housing'!F67+'New Rental Housing'!F97+'New Rental Housing'!F127+'New Rental Housing'!F157+'New Rental Housing'!F187+'New Rental Housing'!F217+'New Rental Housing'!F247</f>
        <v>0</v>
      </c>
      <c r="D34" s="114">
        <f t="shared" si="6"/>
        <v>773275.36630036635</v>
      </c>
      <c r="E34" s="114">
        <f t="shared" si="7"/>
        <v>0</v>
      </c>
      <c r="F34" s="114">
        <f>'New Rental Housing'!J7+'New Rental Housing'!J37+'New Rental Housing'!J67+'New Rental Housing'!J97+'New Rental Housing'!J127+'New Rental Housing'!J157+'New Rental Housing'!J187+'New Rental Housing'!J217+'New Rental Housing'!J247</f>
        <v>27819.902319902321</v>
      </c>
      <c r="G34" s="114">
        <f>'New Rental Housing'!K7+'New Rental Housing'!K37+'New Rental Housing'!K67+'New Rental Housing'!K97+'New Rental Housing'!K127+'New Rental Housing'!K157+'New Rental Housing'!K187+'New Rental Housing'!K217+'New Rental Housing'!K247</f>
        <v>0</v>
      </c>
      <c r="H34" s="114">
        <f t="shared" si="8"/>
        <v>27819.902319902321</v>
      </c>
      <c r="I34" s="114">
        <f t="shared" si="9"/>
        <v>0</v>
      </c>
    </row>
    <row r="35" spans="1:9" ht="15.5" x14ac:dyDescent="0.35">
      <c r="A35" s="65">
        <v>44470</v>
      </c>
      <c r="B35" s="113">
        <f>'New Rental Housing'!E8+'New Rental Housing'!E38+'New Rental Housing'!E68+'New Rental Housing'!E98+'New Rental Housing'!E128+'New Rental Housing'!E158+'New Rental Housing'!E188+'New Rental Housing'!E218+'New Rental Housing'!E248</f>
        <v>773275.36630036635</v>
      </c>
      <c r="C35" s="113">
        <f>'New Rental Housing'!F8+'New Rental Housing'!F38+'New Rental Housing'!F68+'New Rental Housing'!F98+'New Rental Housing'!F128+'New Rental Housing'!F158+'New Rental Housing'!F188+'New Rental Housing'!F218+'New Rental Housing'!F248</f>
        <v>0</v>
      </c>
      <c r="D35" s="114">
        <f t="shared" si="6"/>
        <v>1546550.7326007327</v>
      </c>
      <c r="E35" s="114">
        <f t="shared" si="7"/>
        <v>0</v>
      </c>
      <c r="F35" s="114">
        <f>'New Rental Housing'!J8+'New Rental Housing'!J38+'New Rental Housing'!J68+'New Rental Housing'!J98+'New Rental Housing'!J128+'New Rental Housing'!J158+'New Rental Housing'!J188+'New Rental Housing'!J218+'New Rental Housing'!J248</f>
        <v>27819.902319902321</v>
      </c>
      <c r="G35" s="114">
        <f>'New Rental Housing'!K8+'New Rental Housing'!K38+'New Rental Housing'!K68+'New Rental Housing'!K98+'New Rental Housing'!K128+'New Rental Housing'!K158+'New Rental Housing'!K188+'New Rental Housing'!K218+'New Rental Housing'!K248</f>
        <v>0</v>
      </c>
      <c r="H35" s="114">
        <f t="shared" si="8"/>
        <v>55639.804639804643</v>
      </c>
      <c r="I35" s="114">
        <f t="shared" si="9"/>
        <v>0</v>
      </c>
    </row>
    <row r="36" spans="1:9" ht="15.5" x14ac:dyDescent="0.35">
      <c r="A36" s="65">
        <v>44562</v>
      </c>
      <c r="B36" s="113">
        <f>'New Rental Housing'!E9+'New Rental Housing'!E39+'New Rental Housing'!E69+'New Rental Housing'!E99+'New Rental Housing'!E129+'New Rental Housing'!E159+'New Rental Housing'!E189+'New Rental Housing'!E219+'New Rental Housing'!E249</f>
        <v>773275.36630036635</v>
      </c>
      <c r="C36" s="113">
        <f>'New Rental Housing'!F9+'New Rental Housing'!F39+'New Rental Housing'!F69+'New Rental Housing'!F99+'New Rental Housing'!F129+'New Rental Housing'!F159+'New Rental Housing'!F189+'New Rental Housing'!F219+'New Rental Housing'!F249</f>
        <v>0</v>
      </c>
      <c r="D36" s="114">
        <f t="shared" si="6"/>
        <v>2319826.0989010991</v>
      </c>
      <c r="E36" s="114">
        <f t="shared" si="7"/>
        <v>0</v>
      </c>
      <c r="F36" s="114">
        <f>'New Rental Housing'!J9+'New Rental Housing'!J39+'New Rental Housing'!J69+'New Rental Housing'!J99+'New Rental Housing'!J129+'New Rental Housing'!J159+'New Rental Housing'!J189+'New Rental Housing'!J219+'New Rental Housing'!J249</f>
        <v>27819.902319902321</v>
      </c>
      <c r="G36" s="114">
        <f>'New Rental Housing'!K9+'New Rental Housing'!K39+'New Rental Housing'!K69+'New Rental Housing'!K99+'New Rental Housing'!K129+'New Rental Housing'!K159+'New Rental Housing'!K189+'New Rental Housing'!K219+'New Rental Housing'!K249</f>
        <v>20106</v>
      </c>
      <c r="H36" s="114">
        <f t="shared" si="8"/>
        <v>83459.706959706964</v>
      </c>
      <c r="I36" s="114">
        <f t="shared" si="9"/>
        <v>20106</v>
      </c>
    </row>
    <row r="37" spans="1:9" ht="15.5" x14ac:dyDescent="0.35">
      <c r="A37" s="65">
        <v>44652</v>
      </c>
      <c r="B37" s="113">
        <f>'New Rental Housing'!E10+'New Rental Housing'!E40+'New Rental Housing'!E70+'New Rental Housing'!E100+'New Rental Housing'!E130+'New Rental Housing'!E160+'New Rental Housing'!E190+'New Rental Housing'!E220+'New Rental Housing'!E250</f>
        <v>773275.36630036635</v>
      </c>
      <c r="C37" s="113">
        <f>'New Rental Housing'!F10+'New Rental Housing'!F40+'New Rental Housing'!F70+'New Rental Housing'!F100+'New Rental Housing'!F130+'New Rental Housing'!F160+'New Rental Housing'!F190+'New Rental Housing'!F220+'New Rental Housing'!F250</f>
        <v>607499</v>
      </c>
      <c r="D37" s="114">
        <f t="shared" si="6"/>
        <v>3093101.4652014654</v>
      </c>
      <c r="E37" s="114">
        <f t="shared" si="7"/>
        <v>607499</v>
      </c>
      <c r="F37" s="114">
        <f>'New Rental Housing'!J10+'New Rental Housing'!J40+'New Rental Housing'!J70+'New Rental Housing'!J100+'New Rental Housing'!J130+'New Rental Housing'!J160+'New Rental Housing'!J190+'New Rental Housing'!J220+'New Rental Housing'!J250</f>
        <v>27819.902319902321</v>
      </c>
      <c r="G37" s="114">
        <f>'New Rental Housing'!K10+'New Rental Housing'!K40+'New Rental Housing'!K70+'New Rental Housing'!K100+'New Rental Housing'!K130+'New Rental Housing'!K160+'New Rental Housing'!K190+'New Rental Housing'!K220+'New Rental Housing'!K250</f>
        <v>1412</v>
      </c>
      <c r="H37" s="114">
        <f t="shared" si="8"/>
        <v>111279.60927960929</v>
      </c>
      <c r="I37" s="114">
        <f t="shared" si="9"/>
        <v>21518</v>
      </c>
    </row>
    <row r="38" spans="1:9" ht="15.5" x14ac:dyDescent="0.35">
      <c r="A38" s="65">
        <v>44743</v>
      </c>
      <c r="B38" s="113">
        <f>'New Rental Housing'!E11+'New Rental Housing'!E41+'New Rental Housing'!E71+'New Rental Housing'!E101+'New Rental Housing'!E131+'New Rental Housing'!E161+'New Rental Housing'!E191+'New Rental Housing'!E221+'New Rental Housing'!E251</f>
        <v>789942.03296703298</v>
      </c>
      <c r="C38" s="113">
        <f>'New Rental Housing'!F11+'New Rental Housing'!F41+'New Rental Housing'!F71+'New Rental Housing'!F101+'New Rental Housing'!F131+'New Rental Housing'!F161+'New Rental Housing'!F191+'New Rental Housing'!F221+'New Rental Housing'!F251</f>
        <v>1181021</v>
      </c>
      <c r="D38" s="114">
        <f t="shared" si="6"/>
        <v>3883043.4981684983</v>
      </c>
      <c r="E38" s="114">
        <f t="shared" si="7"/>
        <v>1788520</v>
      </c>
      <c r="F38" s="114">
        <f>'New Rental Housing'!J11+'New Rental Housing'!J41+'New Rental Housing'!J71+'New Rental Housing'!J101+'New Rental Housing'!J131+'New Rental Housing'!J161+'New Rental Housing'!J191+'New Rental Housing'!J221+'New Rental Housing'!J251</f>
        <v>29153.235653235653</v>
      </c>
      <c r="G38" s="114">
        <f>'New Rental Housing'!K11+'New Rental Housing'!K41+'New Rental Housing'!K71+'New Rental Housing'!K101+'New Rental Housing'!K131+'New Rental Housing'!K161+'New Rental Housing'!K191+'New Rental Housing'!K221+'New Rental Housing'!K251</f>
        <v>36486</v>
      </c>
      <c r="H38" s="114">
        <f t="shared" si="8"/>
        <v>140432.84493284495</v>
      </c>
      <c r="I38" s="114">
        <f t="shared" si="9"/>
        <v>58004</v>
      </c>
    </row>
    <row r="39" spans="1:9" ht="15.5" x14ac:dyDescent="0.35">
      <c r="A39" s="65">
        <v>44835</v>
      </c>
      <c r="B39" s="113">
        <f>'New Rental Housing'!E12+'New Rental Housing'!E42+'New Rental Housing'!E72+'New Rental Housing'!E102+'New Rental Housing'!E132+'New Rental Housing'!E162+'New Rental Housing'!E192+'New Rental Housing'!E222+'New Rental Housing'!E252</f>
        <v>789942.03296703298</v>
      </c>
      <c r="C39" s="113">
        <f>'New Rental Housing'!F12+'New Rental Housing'!F42+'New Rental Housing'!F72+'New Rental Housing'!F102+'New Rental Housing'!F132+'New Rental Housing'!F162+'New Rental Housing'!F192+'New Rental Housing'!F222+'New Rental Housing'!F252</f>
        <v>123042</v>
      </c>
      <c r="D39" s="114">
        <f t="shared" si="6"/>
        <v>4672985.5311355311</v>
      </c>
      <c r="E39" s="114">
        <f t="shared" si="7"/>
        <v>1911562</v>
      </c>
      <c r="F39" s="114">
        <f>'New Rental Housing'!J12+'New Rental Housing'!J42+'New Rental Housing'!J72+'New Rental Housing'!J102+'New Rental Housing'!J132+'New Rental Housing'!J162+'New Rental Housing'!J192+'New Rental Housing'!J222+'New Rental Housing'!J252</f>
        <v>29153.235653235653</v>
      </c>
      <c r="G39" s="114">
        <f>'New Rental Housing'!K12+'New Rental Housing'!K42+'New Rental Housing'!K72+'New Rental Housing'!K102+'New Rental Housing'!K132+'New Rental Housing'!K162+'New Rental Housing'!K192+'New Rental Housing'!K222+'New Rental Housing'!K252</f>
        <v>13271</v>
      </c>
      <c r="H39" s="114">
        <f t="shared" si="8"/>
        <v>169586.08058608061</v>
      </c>
      <c r="I39" s="114">
        <f t="shared" si="9"/>
        <v>71275</v>
      </c>
    </row>
    <row r="40" spans="1:9" ht="15.5" x14ac:dyDescent="0.35">
      <c r="A40" s="65">
        <v>44927</v>
      </c>
      <c r="B40" s="113">
        <f>'New Rental Housing'!E13+'New Rental Housing'!E43+'New Rental Housing'!E73+'New Rental Housing'!E103+'New Rental Housing'!E133+'New Rental Housing'!E163+'New Rental Housing'!E193+'New Rental Housing'!E223+'New Rental Housing'!E253</f>
        <v>789942.03296703298</v>
      </c>
      <c r="C40" s="113">
        <f>'New Rental Housing'!F13+'New Rental Housing'!F43+'New Rental Housing'!F73+'New Rental Housing'!F103+'New Rental Housing'!F133+'New Rental Housing'!F163+'New Rental Housing'!F193+'New Rental Housing'!F223+'New Rental Housing'!F253</f>
        <v>1498069</v>
      </c>
      <c r="D40" s="114">
        <f t="shared" si="6"/>
        <v>5462927.564102564</v>
      </c>
      <c r="E40" s="114">
        <f t="shared" si="7"/>
        <v>3409631</v>
      </c>
      <c r="F40" s="114">
        <f>'New Rental Housing'!J13+'New Rental Housing'!J43+'New Rental Housing'!J73+'New Rental Housing'!J103+'New Rental Housing'!J133+'New Rental Housing'!J163+'New Rental Housing'!J193+'New Rental Housing'!J223+'New Rental Housing'!J253</f>
        <v>29153.235653235653</v>
      </c>
      <c r="G40" s="114">
        <f>'New Rental Housing'!K13+'New Rental Housing'!K43+'New Rental Housing'!K73+'New Rental Housing'!K103+'New Rental Housing'!K133+'New Rental Housing'!K163+'New Rental Housing'!K193+'New Rental Housing'!K223+'New Rental Housing'!K253</f>
        <v>21368</v>
      </c>
      <c r="H40" s="114">
        <f t="shared" si="8"/>
        <v>198739.31623931628</v>
      </c>
      <c r="I40" s="114">
        <f t="shared" si="9"/>
        <v>92643</v>
      </c>
    </row>
    <row r="41" spans="1:9" ht="15.5" x14ac:dyDescent="0.35">
      <c r="A41" s="65">
        <v>45017</v>
      </c>
      <c r="B41" s="113">
        <f>'New Rental Housing'!E14+'New Rental Housing'!E44+'New Rental Housing'!E74+'New Rental Housing'!E104+'New Rental Housing'!E134+'New Rental Housing'!E164+'New Rental Housing'!E194+'New Rental Housing'!E224+'New Rental Housing'!E254</f>
        <v>789942.03296703298</v>
      </c>
      <c r="C41" s="113">
        <f>'New Rental Housing'!F14+'New Rental Housing'!F44+'New Rental Housing'!F74+'New Rental Housing'!F104+'New Rental Housing'!F134+'New Rental Housing'!F164+'New Rental Housing'!F194+'New Rental Housing'!F224+'New Rental Housing'!F254</f>
        <v>1762570</v>
      </c>
      <c r="D41" s="114">
        <f t="shared" si="6"/>
        <v>6252869.5970695969</v>
      </c>
      <c r="E41" s="114">
        <f t="shared" si="7"/>
        <v>5172201</v>
      </c>
      <c r="F41" s="114">
        <f>'New Rental Housing'!J14+'New Rental Housing'!J44+'New Rental Housing'!J74+'New Rental Housing'!J104+'New Rental Housing'!J134+'New Rental Housing'!J164+'New Rental Housing'!J194+'New Rental Housing'!J224+'New Rental Housing'!J254</f>
        <v>29153.235653235653</v>
      </c>
      <c r="G41" s="114">
        <f>'New Rental Housing'!K14+'New Rental Housing'!K44+'New Rental Housing'!K74+'New Rental Housing'!K104+'New Rental Housing'!K134+'New Rental Housing'!K164+'New Rental Housing'!K194+'New Rental Housing'!K224+'New Rental Housing'!K254</f>
        <v>50456</v>
      </c>
      <c r="H41" s="114">
        <f t="shared" si="8"/>
        <v>227892.55189255194</v>
      </c>
      <c r="I41" s="114">
        <f t="shared" si="9"/>
        <v>143099</v>
      </c>
    </row>
    <row r="42" spans="1:9" ht="15.5" x14ac:dyDescent="0.35">
      <c r="A42" s="65">
        <v>45108</v>
      </c>
      <c r="B42" s="113">
        <f>'New Rental Housing'!E15+'New Rental Housing'!E45+'New Rental Housing'!E75+'New Rental Housing'!E105+'New Rental Housing'!E135+'New Rental Housing'!E165+'New Rental Housing'!E195+'New Rental Housing'!E225+'New Rental Housing'!E255</f>
        <v>867585.7472527473</v>
      </c>
      <c r="C42" s="113">
        <f>'New Rental Housing'!F15+'New Rental Housing'!F45+'New Rental Housing'!F75+'New Rental Housing'!F105+'New Rental Housing'!F135+'New Rental Housing'!F165+'New Rental Housing'!F195+'New Rental Housing'!F225+'New Rental Housing'!F255</f>
        <v>184607.87000000002</v>
      </c>
      <c r="D42" s="114">
        <f t="shared" si="6"/>
        <v>7120455.3443223443</v>
      </c>
      <c r="E42" s="114">
        <f t="shared" si="7"/>
        <v>5356808.87</v>
      </c>
      <c r="F42" s="114">
        <f>'New Rental Housing'!J15+'New Rental Housing'!J45+'New Rental Housing'!J75+'New Rental Housing'!J105+'New Rental Housing'!J135+'New Rental Housing'!J165+'New Rental Housing'!J195+'New Rental Housing'!J225+'New Rental Housing'!J255</f>
        <v>32010.378510378512</v>
      </c>
      <c r="G42" s="114">
        <f>'New Rental Housing'!K15+'New Rental Housing'!K45+'New Rental Housing'!K75+'New Rental Housing'!K105+'New Rental Housing'!K135+'New Rental Housing'!K165+'New Rental Housing'!K195+'New Rental Housing'!K225+'New Rental Housing'!K255</f>
        <v>4991</v>
      </c>
      <c r="H42" s="114">
        <f t="shared" si="8"/>
        <v>259902.93040293045</v>
      </c>
      <c r="I42" s="114">
        <f t="shared" si="9"/>
        <v>148090</v>
      </c>
    </row>
    <row r="43" spans="1:9" ht="15.5" x14ac:dyDescent="0.35">
      <c r="A43" s="65">
        <v>45200</v>
      </c>
      <c r="B43" s="113">
        <f>'New Rental Housing'!E16+'New Rental Housing'!E46+'New Rental Housing'!E76+'New Rental Housing'!E106+'New Rental Housing'!E136+'New Rental Housing'!E166+'New Rental Housing'!E196+'New Rental Housing'!E226+'New Rental Housing'!E256</f>
        <v>867585.7472527473</v>
      </c>
      <c r="C43" s="113">
        <f>'New Rental Housing'!F16+'New Rental Housing'!F46+'New Rental Housing'!F76+'New Rental Housing'!F106+'New Rental Housing'!F136+'New Rental Housing'!F166+'New Rental Housing'!F196+'New Rental Housing'!F226+'New Rental Housing'!F256</f>
        <v>1855019.8499999999</v>
      </c>
      <c r="D43" s="114">
        <f t="shared" si="6"/>
        <v>7988041.0915750917</v>
      </c>
      <c r="E43" s="114">
        <f t="shared" si="7"/>
        <v>7211828.7199999997</v>
      </c>
      <c r="F43" s="114">
        <f>'New Rental Housing'!J16+'New Rental Housing'!J46+'New Rental Housing'!J76+'New Rental Housing'!J106+'New Rental Housing'!J136+'New Rental Housing'!J166+'New Rental Housing'!J196+'New Rental Housing'!J226+'New Rental Housing'!J256</f>
        <v>32010.378510378512</v>
      </c>
      <c r="G43" s="114">
        <f>'New Rental Housing'!K16+'New Rental Housing'!K46+'New Rental Housing'!K76+'New Rental Housing'!K106+'New Rental Housing'!K136+'New Rental Housing'!K166+'New Rental Housing'!K196+'New Rental Housing'!K226+'New Rental Housing'!K256</f>
        <v>36616.17</v>
      </c>
      <c r="H43" s="114">
        <f t="shared" si="8"/>
        <v>291913.30891330895</v>
      </c>
      <c r="I43" s="114">
        <f t="shared" si="9"/>
        <v>184706.16999999998</v>
      </c>
    </row>
    <row r="44" spans="1:9" ht="15.5" x14ac:dyDescent="0.35">
      <c r="A44" s="65">
        <v>45292</v>
      </c>
      <c r="B44" s="113">
        <f>'New Rental Housing'!E17+'New Rental Housing'!E47+'New Rental Housing'!E77+'New Rental Housing'!E107+'New Rental Housing'!E137+'New Rental Housing'!E167+'New Rental Housing'!E197+'New Rental Housing'!E227+'New Rental Housing'!E257</f>
        <v>867585.7472527473</v>
      </c>
      <c r="C44" s="113">
        <f>'New Rental Housing'!F17+'New Rental Housing'!F47+'New Rental Housing'!F77+'New Rental Housing'!F107+'New Rental Housing'!F137+'New Rental Housing'!F167+'New Rental Housing'!F197+'New Rental Housing'!F227+'New Rental Housing'!F257</f>
        <v>780774.61</v>
      </c>
      <c r="D44" s="114">
        <f t="shared" si="6"/>
        <v>8855626.8388278391</v>
      </c>
      <c r="E44" s="114">
        <f t="shared" si="7"/>
        <v>7992603.3300000001</v>
      </c>
      <c r="F44" s="114">
        <f>'New Rental Housing'!J17+'New Rental Housing'!J47+'New Rental Housing'!J77+'New Rental Housing'!J107+'New Rental Housing'!J137+'New Rental Housing'!J167+'New Rental Housing'!J197+'New Rental Housing'!J227+'New Rental Housing'!J257</f>
        <v>32010.378510378512</v>
      </c>
      <c r="G44" s="114">
        <f>'New Rental Housing'!K17+'New Rental Housing'!K47+'New Rental Housing'!K77+'New Rental Housing'!K107+'New Rental Housing'!K137+'New Rental Housing'!K167+'New Rental Housing'!K197+'New Rental Housing'!K227+'New Rental Housing'!K257</f>
        <v>4718</v>
      </c>
      <c r="H44" s="114">
        <f t="shared" si="8"/>
        <v>323923.68742368749</v>
      </c>
      <c r="I44" s="114">
        <f t="shared" si="9"/>
        <v>189424.16999999998</v>
      </c>
    </row>
    <row r="45" spans="1:9" ht="15.5" x14ac:dyDescent="0.35">
      <c r="A45" s="65">
        <v>45383</v>
      </c>
      <c r="B45" s="113">
        <f>'New Rental Housing'!E18+'New Rental Housing'!E48+'New Rental Housing'!E78+'New Rental Housing'!E108+'New Rental Housing'!E138+'New Rental Housing'!E168+'New Rental Housing'!E198+'New Rental Housing'!E228+'New Rental Housing'!E258</f>
        <v>867585.7472527473</v>
      </c>
      <c r="C45" s="113">
        <f>'New Rental Housing'!F18+'New Rental Housing'!F48+'New Rental Housing'!F78+'New Rental Housing'!F108+'New Rental Housing'!F138+'New Rental Housing'!F168+'New Rental Housing'!F198+'New Rental Housing'!F228+'New Rental Housing'!F258</f>
        <v>745802.72</v>
      </c>
      <c r="D45" s="114">
        <f t="shared" si="6"/>
        <v>9723212.5860805865</v>
      </c>
      <c r="E45" s="114">
        <f t="shared" si="7"/>
        <v>8738406.0500000007</v>
      </c>
      <c r="F45" s="114">
        <f>'New Rental Housing'!J18+'New Rental Housing'!J48+'New Rental Housing'!J78+'New Rental Housing'!J108+'New Rental Housing'!J138+'New Rental Housing'!J168+'New Rental Housing'!J198+'New Rental Housing'!J228+'New Rental Housing'!J258</f>
        <v>31243.235653235657</v>
      </c>
      <c r="G45" s="114">
        <f>'New Rental Housing'!K18+'New Rental Housing'!K48+'New Rental Housing'!K78+'New Rental Housing'!K108+'New Rental Housing'!K138+'New Rental Housing'!K168+'New Rental Housing'!K198+'New Rental Housing'!K228+'New Rental Housing'!K258</f>
        <v>0</v>
      </c>
      <c r="H45" s="114">
        <f t="shared" si="8"/>
        <v>355166.92307692312</v>
      </c>
      <c r="I45" s="114">
        <f t="shared" si="9"/>
        <v>189424.16999999998</v>
      </c>
    </row>
    <row r="46" spans="1:9" ht="15.5" x14ac:dyDescent="0.35">
      <c r="A46" s="65">
        <v>45474</v>
      </c>
      <c r="B46" s="113">
        <f>'New Rental Housing'!E19+'New Rental Housing'!E49+'New Rental Housing'!E79+'New Rental Housing'!E109+'New Rental Housing'!E139+'New Rental Housing'!E169+'New Rental Housing'!E199+'New Rental Housing'!E229+'New Rental Housing'!E259</f>
        <v>859564.91391941393</v>
      </c>
      <c r="C46" s="113">
        <f>'New Rental Housing'!F19+'New Rental Housing'!F49+'New Rental Housing'!F79+'New Rental Housing'!F109+'New Rental Housing'!F139+'New Rental Housing'!F169+'New Rental Housing'!F199+'New Rental Housing'!F229+'New Rental Housing'!F259</f>
        <v>1435598.76</v>
      </c>
      <c r="D46" s="114">
        <f t="shared" si="6"/>
        <v>10582777.5</v>
      </c>
      <c r="E46" s="114">
        <f t="shared" si="7"/>
        <v>10174004.810000001</v>
      </c>
      <c r="F46" s="114">
        <f>'New Rental Housing'!J19+'New Rental Housing'!J49+'New Rental Housing'!J79+'New Rental Housing'!J109+'New Rental Housing'!J139+'New Rental Housing'!J169+'New Rental Housing'!J199+'New Rental Housing'!J229+'New Rental Housing'!J259</f>
        <v>31510.378510378512</v>
      </c>
      <c r="G46" s="114">
        <f>'New Rental Housing'!K19+'New Rental Housing'!K49+'New Rental Housing'!K79+'New Rental Housing'!K109+'New Rental Housing'!K139+'New Rental Housing'!K169+'New Rental Housing'!K199+'New Rental Housing'!K229+'New Rental Housing'!K259</f>
        <v>14337</v>
      </c>
      <c r="H46" s="114">
        <f t="shared" si="8"/>
        <v>386677.30158730166</v>
      </c>
      <c r="I46" s="114">
        <f t="shared" si="9"/>
        <v>203761.16999999998</v>
      </c>
    </row>
    <row r="47" spans="1:9" ht="15.5" x14ac:dyDescent="0.35">
      <c r="A47" s="2">
        <v>45566</v>
      </c>
      <c r="B47" s="115">
        <f>'New Rental Housing'!E20+'New Rental Housing'!E50+'New Rental Housing'!E80+'New Rental Housing'!E110+'New Rental Housing'!E140+'New Rental Housing'!E170+'New Rental Housing'!E200+'New Rental Housing'!E230+'New Rental Housing'!E260</f>
        <v>830109.78571428568</v>
      </c>
      <c r="C47" s="115">
        <f>'New Rental Housing'!F20+'New Rental Housing'!F50+'New Rental Housing'!F80+'New Rental Housing'!F110+'New Rental Housing'!F140+'New Rental Housing'!F170+'New Rental Housing'!F200+'New Rental Housing'!F230+'New Rental Housing'!F260</f>
        <v>0</v>
      </c>
      <c r="D47" s="33">
        <f t="shared" si="6"/>
        <v>11412887.285714285</v>
      </c>
      <c r="E47" s="33">
        <f t="shared" si="7"/>
        <v>10174004.810000001</v>
      </c>
      <c r="F47" s="33">
        <f>'New Rental Housing'!J20+'New Rental Housing'!J50+'New Rental Housing'!J80+'New Rental Housing'!J110+'New Rental Housing'!J140+'New Rental Housing'!J170+'New Rental Housing'!J200+'New Rental Housing'!J230+'New Rental Housing'!J260</f>
        <v>29253.968253968258</v>
      </c>
      <c r="G47" s="33">
        <f>'New Rental Housing'!K20+'New Rental Housing'!K50+'New Rental Housing'!K80+'New Rental Housing'!K110+'New Rental Housing'!K140+'New Rental Housing'!K170+'New Rental Housing'!K200+'New Rental Housing'!K230+'New Rental Housing'!K260</f>
        <v>0</v>
      </c>
      <c r="H47" s="33">
        <f t="shared" si="8"/>
        <v>415931.26984126994</v>
      </c>
      <c r="I47" s="33">
        <f t="shared" si="9"/>
        <v>203761.16999999998</v>
      </c>
    </row>
    <row r="48" spans="1:9" ht="15.5" x14ac:dyDescent="0.35">
      <c r="A48" s="2">
        <v>45658</v>
      </c>
      <c r="B48" s="115">
        <f>'New Rental Housing'!E21+'New Rental Housing'!E51+'New Rental Housing'!E81+'New Rental Housing'!E111+'New Rental Housing'!E141+'New Rental Housing'!E171+'New Rental Housing'!E201+'New Rental Housing'!E231+'New Rental Housing'!E261</f>
        <v>96393.71428571429</v>
      </c>
      <c r="C48" s="115">
        <f>'New Rental Housing'!F21+'New Rental Housing'!F51+'New Rental Housing'!F81+'New Rental Housing'!F111+'New Rental Housing'!F141+'New Rental Housing'!F171+'New Rental Housing'!F201+'New Rental Housing'!F231+'New Rental Housing'!F261</f>
        <v>0</v>
      </c>
      <c r="D48" s="33">
        <f t="shared" si="6"/>
        <v>11509281</v>
      </c>
      <c r="E48" s="33">
        <f t="shared" si="7"/>
        <v>10174004.810000001</v>
      </c>
      <c r="F48" s="33">
        <f>'New Rental Housing'!J21+'New Rental Housing'!J51+'New Rental Housing'!J81+'New Rental Housing'!J111+'New Rental Housing'!J141+'New Rental Housing'!J171+'New Rental Housing'!J201+'New Rental Housing'!J231+'New Rental Housing'!J261</f>
        <v>3968.2539682539682</v>
      </c>
      <c r="G48" s="33">
        <f>'New Rental Housing'!K21+'New Rental Housing'!K51+'New Rental Housing'!K81+'New Rental Housing'!K111+'New Rental Housing'!K141+'New Rental Housing'!K171+'New Rental Housing'!K201+'New Rental Housing'!K231+'New Rental Housing'!K261</f>
        <v>0</v>
      </c>
      <c r="H48" s="33">
        <f t="shared" si="8"/>
        <v>419899.5238095239</v>
      </c>
      <c r="I48" s="33">
        <f t="shared" si="9"/>
        <v>203761.16999999998</v>
      </c>
    </row>
    <row r="49" spans="1:10" ht="15.5" x14ac:dyDescent="0.35">
      <c r="A49" s="2">
        <v>45748</v>
      </c>
      <c r="B49" s="115">
        <f>'New Rental Housing'!E22+'New Rental Housing'!E52+'New Rental Housing'!E82+'New Rental Housing'!E112+'New Rental Housing'!E142+'New Rental Housing'!E172+'New Rental Housing'!E202+'New Rental Housing'!E232+'New Rental Housing'!E262</f>
        <v>18750</v>
      </c>
      <c r="C49" s="115">
        <f>'New Rental Housing'!F22+'New Rental Housing'!F52+'New Rental Housing'!F82+'New Rental Housing'!F112+'New Rental Housing'!F142+'New Rental Housing'!F172+'New Rental Housing'!F202+'New Rental Housing'!F232+'New Rental Housing'!F262</f>
        <v>0</v>
      </c>
      <c r="D49" s="33">
        <f t="shared" si="6"/>
        <v>11528031</v>
      </c>
      <c r="E49" s="33">
        <f t="shared" si="7"/>
        <v>10174004.810000001</v>
      </c>
      <c r="F49" s="33">
        <f>'New Rental Housing'!J22+'New Rental Housing'!J52+'New Rental Housing'!J82+'New Rental Housing'!J112+'New Rental Housing'!J142+'New Rental Housing'!J172+'New Rental Housing'!J202+'New Rental Housing'!J232+'New Rental Housing'!J262</f>
        <v>1111.1111111111111</v>
      </c>
      <c r="G49" s="33">
        <f>'New Rental Housing'!K22+'New Rental Housing'!K52+'New Rental Housing'!K82+'New Rental Housing'!K112+'New Rental Housing'!K142+'New Rental Housing'!K172+'New Rental Housing'!K202+'New Rental Housing'!K232+'New Rental Housing'!K262</f>
        <v>0</v>
      </c>
      <c r="H49" s="33">
        <f t="shared" si="8"/>
        <v>421010.63492063503</v>
      </c>
      <c r="I49" s="33">
        <f t="shared" si="9"/>
        <v>203761.16999999998</v>
      </c>
    </row>
    <row r="50" spans="1:10" ht="15.5" x14ac:dyDescent="0.35">
      <c r="A50" s="2">
        <v>45839</v>
      </c>
      <c r="B50" s="115">
        <f>'New Rental Housing'!E23+'New Rental Housing'!E53+'New Rental Housing'!E83+'New Rental Housing'!E113+'New Rental Housing'!E143+'New Rental Housing'!E173+'New Rental Housing'!E203+'New Rental Housing'!E233+'New Rental Housing'!E263</f>
        <v>18750</v>
      </c>
      <c r="C50" s="115">
        <f>'New Rental Housing'!F23+'New Rental Housing'!F53+'New Rental Housing'!F83+'New Rental Housing'!F113+'New Rental Housing'!F143+'New Rental Housing'!F173+'New Rental Housing'!F203+'New Rental Housing'!F233+'New Rental Housing'!F263</f>
        <v>0</v>
      </c>
      <c r="D50" s="33">
        <f t="shared" si="6"/>
        <v>11546781</v>
      </c>
      <c r="E50" s="33">
        <f t="shared" si="7"/>
        <v>10174004.810000001</v>
      </c>
      <c r="F50" s="33">
        <f>'New Rental Housing'!J23+'New Rental Housing'!J53+'New Rental Housing'!J83+'New Rental Housing'!J113+'New Rental Housing'!J143+'New Rental Housing'!J173+'New Rental Housing'!J203+'New Rental Housing'!J233+'New Rental Housing'!J263</f>
        <v>1111.1111111111111</v>
      </c>
      <c r="G50" s="33">
        <f>'New Rental Housing'!K23+'New Rental Housing'!K53+'New Rental Housing'!K83+'New Rental Housing'!K113+'New Rental Housing'!K143+'New Rental Housing'!K173+'New Rental Housing'!K203+'New Rental Housing'!K233+'New Rental Housing'!K263</f>
        <v>0</v>
      </c>
      <c r="H50" s="33">
        <f t="shared" si="8"/>
        <v>422121.74603174615</v>
      </c>
      <c r="I50" s="33">
        <f t="shared" si="9"/>
        <v>203761.16999999998</v>
      </c>
    </row>
    <row r="51" spans="1:10" ht="15.5" x14ac:dyDescent="0.35">
      <c r="A51" s="2">
        <v>45931</v>
      </c>
      <c r="B51" s="115">
        <f>'New Rental Housing'!E24+'New Rental Housing'!E54+'New Rental Housing'!E84+'New Rental Housing'!E114+'New Rental Housing'!E144+'New Rental Housing'!E174+'New Rental Housing'!E204+'New Rental Housing'!E234+'New Rental Housing'!E264</f>
        <v>18750</v>
      </c>
      <c r="C51" s="115">
        <f>'New Rental Housing'!F24+'New Rental Housing'!F54+'New Rental Housing'!F84+'New Rental Housing'!F114+'New Rental Housing'!F144+'New Rental Housing'!F174+'New Rental Housing'!F204+'New Rental Housing'!F234+'New Rental Housing'!F264</f>
        <v>0</v>
      </c>
      <c r="D51" s="33">
        <f t="shared" si="6"/>
        <v>11565531</v>
      </c>
      <c r="E51" s="33">
        <f t="shared" si="7"/>
        <v>10174004.810000001</v>
      </c>
      <c r="F51" s="33">
        <f>'New Rental Housing'!J24+'New Rental Housing'!J54+'New Rental Housing'!J84+'New Rental Housing'!J114+'New Rental Housing'!J144+'New Rental Housing'!J174+'New Rental Housing'!J204+'New Rental Housing'!J234+'New Rental Housing'!J264</f>
        <v>1111.1111111111111</v>
      </c>
      <c r="G51" s="33">
        <f>'New Rental Housing'!K24+'New Rental Housing'!K54+'New Rental Housing'!K84+'New Rental Housing'!K114+'New Rental Housing'!K144+'New Rental Housing'!K174+'New Rental Housing'!K204+'New Rental Housing'!K234+'New Rental Housing'!K264</f>
        <v>0</v>
      </c>
      <c r="H51" s="33">
        <f t="shared" si="8"/>
        <v>423232.85714285728</v>
      </c>
      <c r="I51" s="33">
        <f t="shared" si="9"/>
        <v>203761.16999999998</v>
      </c>
    </row>
    <row r="52" spans="1:10" ht="15.5" x14ac:dyDescent="0.35">
      <c r="A52" s="2">
        <v>46023</v>
      </c>
      <c r="B52" s="115">
        <f>'New Rental Housing'!E25+'New Rental Housing'!E55+'New Rental Housing'!E85+'New Rental Housing'!E115+'New Rental Housing'!E145+'New Rental Housing'!E175+'New Rental Housing'!E205+'New Rental Housing'!E235+'New Rental Housing'!E265</f>
        <v>0</v>
      </c>
      <c r="C52" s="115">
        <f>'New Rental Housing'!F25+'New Rental Housing'!F55+'New Rental Housing'!F85+'New Rental Housing'!F115+'New Rental Housing'!F145+'New Rental Housing'!F175+'New Rental Housing'!F205+'New Rental Housing'!F235+'New Rental Housing'!F265</f>
        <v>0</v>
      </c>
      <c r="D52" s="33">
        <f t="shared" si="6"/>
        <v>11565531</v>
      </c>
      <c r="E52" s="33">
        <f t="shared" si="7"/>
        <v>10174004.810000001</v>
      </c>
      <c r="F52" s="33">
        <f>'New Rental Housing'!J25+'New Rental Housing'!J55+'New Rental Housing'!J85+'New Rental Housing'!J115+'New Rental Housing'!J145+'New Rental Housing'!J175+'New Rental Housing'!J205+'New Rental Housing'!J235+'New Rental Housing'!J265</f>
        <v>0</v>
      </c>
      <c r="G52" s="33">
        <f>'New Rental Housing'!K25+'New Rental Housing'!K55+'New Rental Housing'!K85+'New Rental Housing'!K115+'New Rental Housing'!K145+'New Rental Housing'!K175+'New Rental Housing'!K205+'New Rental Housing'!K235+'New Rental Housing'!K265</f>
        <v>0</v>
      </c>
      <c r="H52" s="33">
        <f t="shared" si="8"/>
        <v>423232.85714285728</v>
      </c>
      <c r="I52" s="33">
        <f t="shared" si="9"/>
        <v>203761.16999999998</v>
      </c>
    </row>
    <row r="53" spans="1:10" ht="15.5" x14ac:dyDescent="0.35">
      <c r="A53" s="2">
        <v>46113</v>
      </c>
      <c r="B53" s="115">
        <f>'New Rental Housing'!E26+'New Rental Housing'!E56+'New Rental Housing'!E86+'New Rental Housing'!E116+'New Rental Housing'!E146+'New Rental Housing'!E176+'New Rental Housing'!E206+'New Rental Housing'!E236+'New Rental Housing'!E266</f>
        <v>0</v>
      </c>
      <c r="C53" s="115">
        <f>'New Rental Housing'!F26+'New Rental Housing'!F56+'New Rental Housing'!F86+'New Rental Housing'!F116+'New Rental Housing'!F146+'New Rental Housing'!F176+'New Rental Housing'!F206+'New Rental Housing'!F236+'New Rental Housing'!F266</f>
        <v>0</v>
      </c>
      <c r="D53" s="33">
        <f t="shared" si="6"/>
        <v>11565531</v>
      </c>
      <c r="E53" s="33">
        <f t="shared" si="7"/>
        <v>10174004.810000001</v>
      </c>
      <c r="F53" s="33">
        <f>'New Rental Housing'!J26+'New Rental Housing'!J56+'New Rental Housing'!J86+'New Rental Housing'!J116+'New Rental Housing'!J146+'New Rental Housing'!J176+'New Rental Housing'!J206+'New Rental Housing'!J236+'New Rental Housing'!J266</f>
        <v>0</v>
      </c>
      <c r="G53" s="33">
        <f>'New Rental Housing'!K26+'New Rental Housing'!K56+'New Rental Housing'!K86+'New Rental Housing'!K116+'New Rental Housing'!K146+'New Rental Housing'!K176+'New Rental Housing'!K206+'New Rental Housing'!K236+'New Rental Housing'!K266</f>
        <v>0</v>
      </c>
      <c r="H53" s="33">
        <f t="shared" si="8"/>
        <v>423232.85714285728</v>
      </c>
      <c r="I53" s="33">
        <f t="shared" si="9"/>
        <v>203761.16999999998</v>
      </c>
    </row>
    <row r="54" spans="1:10" ht="16" thickBot="1" x14ac:dyDescent="0.4">
      <c r="A54" s="2">
        <v>46204</v>
      </c>
      <c r="B54" s="115">
        <f>'New Rental Housing'!E27+'New Rental Housing'!E57+'New Rental Housing'!E87+'New Rental Housing'!E117+'New Rental Housing'!E147+'New Rental Housing'!E177+'New Rental Housing'!E207+'New Rental Housing'!E237+'New Rental Housing'!E267</f>
        <v>0</v>
      </c>
      <c r="C54" s="115">
        <f>'New Rental Housing'!F27+'New Rental Housing'!F57+'New Rental Housing'!F87+'New Rental Housing'!F117+'New Rental Housing'!F147+'New Rental Housing'!F177+'New Rental Housing'!F207+'New Rental Housing'!F237+'New Rental Housing'!F267</f>
        <v>0</v>
      </c>
      <c r="D54" s="33">
        <f t="shared" si="6"/>
        <v>11565531</v>
      </c>
      <c r="E54" s="33">
        <f t="shared" si="7"/>
        <v>10174004.810000001</v>
      </c>
      <c r="F54" s="33">
        <f>'New Rental Housing'!J27+'New Rental Housing'!J57+'New Rental Housing'!J87+'New Rental Housing'!J116+'New Rental Housing'!J146+'New Rental Housing'!J176+'New Rental Housing'!J206+'New Rental Housing'!J236</f>
        <v>0</v>
      </c>
      <c r="G54" s="33">
        <f>'New Rental Housing'!K27+'New Rental Housing'!K57+'New Rental Housing'!K87+'New Rental Housing'!K117+'New Rental Housing'!K147+'New Rental Housing'!K177+'New Rental Housing'!K207+'New Rental Housing'!K237+'New Rental Housing'!K267</f>
        <v>0</v>
      </c>
      <c r="H54" s="33">
        <f t="shared" si="8"/>
        <v>423232.85714285728</v>
      </c>
      <c r="I54" s="33">
        <f t="shared" si="9"/>
        <v>203761.16999999998</v>
      </c>
    </row>
    <row r="55" spans="1:10" ht="15" thickTop="1" x14ac:dyDescent="0.35">
      <c r="A55" s="61" t="s">
        <v>13</v>
      </c>
      <c r="B55" s="58">
        <f>SUM(B31:B54)</f>
        <v>11565531</v>
      </c>
      <c r="C55" s="58">
        <f>SUM(C31:C54)</f>
        <v>10174004.810000001</v>
      </c>
      <c r="D55" s="60">
        <f>D54</f>
        <v>11565531</v>
      </c>
      <c r="E55" s="60">
        <f>E54</f>
        <v>10174004.810000001</v>
      </c>
      <c r="F55" s="60">
        <f>SUM(F31:F54)</f>
        <v>423232.85714285728</v>
      </c>
      <c r="G55" s="60">
        <f>SUM(G31:G54)</f>
        <v>203761.16999999998</v>
      </c>
      <c r="H55" s="60">
        <f>H54</f>
        <v>423232.85714285728</v>
      </c>
      <c r="I55" s="60">
        <f>I54</f>
        <v>203761.16999999998</v>
      </c>
      <c r="J55" s="47"/>
    </row>
    <row r="56" spans="1:10" x14ac:dyDescent="0.35">
      <c r="A56" s="63" t="s">
        <v>89</v>
      </c>
      <c r="B56" s="127">
        <f>D55+H55</f>
        <v>11988763.857142858</v>
      </c>
      <c r="C56" s="121"/>
      <c r="D56" s="47"/>
      <c r="E56" s="47"/>
      <c r="F56" s="47"/>
      <c r="G56" s="47"/>
      <c r="H56" s="47"/>
      <c r="I56" s="47"/>
      <c r="J56" s="47"/>
    </row>
    <row r="57" spans="1:10" x14ac:dyDescent="0.35">
      <c r="A57" s="63" t="s">
        <v>90</v>
      </c>
      <c r="B57" s="127">
        <f>E55+I55</f>
        <v>10377765.98</v>
      </c>
      <c r="C57" s="121"/>
      <c r="D57" s="47"/>
      <c r="E57" s="47"/>
      <c r="F57" s="47"/>
      <c r="G57" s="47"/>
      <c r="H57" s="47"/>
      <c r="I57" s="47"/>
      <c r="J57" s="47"/>
    </row>
    <row r="60" spans="1:10" ht="43.5" x14ac:dyDescent="0.35">
      <c r="A60" s="62" t="s">
        <v>27</v>
      </c>
      <c r="B60" s="55" t="s">
        <v>28</v>
      </c>
      <c r="C60" s="56" t="s">
        <v>32</v>
      </c>
      <c r="D60" s="56" t="s">
        <v>29</v>
      </c>
      <c r="E60" s="56" t="s">
        <v>33</v>
      </c>
      <c r="F60" s="55" t="s">
        <v>35</v>
      </c>
      <c r="G60" s="56" t="s">
        <v>34</v>
      </c>
      <c r="H60" s="56" t="s">
        <v>36</v>
      </c>
      <c r="I60" s="56" t="s">
        <v>37</v>
      </c>
      <c r="J60" s="126"/>
    </row>
    <row r="61" spans="1:10" ht="15.5" x14ac:dyDescent="0.35">
      <c r="A61" s="65">
        <v>44105</v>
      </c>
      <c r="B61" s="113">
        <f>'New Single Family Housing'!T35+'New Single Family Housing'!T65+'New Single Family Housing'!T95+'New Single Family Housing'!T125+'New Single Family Housing'!T275</f>
        <v>0</v>
      </c>
      <c r="C61" s="113">
        <f>'New Single Family Housing'!U35+'New Single Family Housing'!U65+'New Single Family Housing'!U95+'New Single Family Housing'!U125+'New Single Family Housing'!U275</f>
        <v>0</v>
      </c>
      <c r="D61" s="114">
        <f>B61</f>
        <v>0</v>
      </c>
      <c r="E61" s="114">
        <f>C61</f>
        <v>0</v>
      </c>
      <c r="F61" s="114">
        <f>'New Single Family Housing'!Y35+'New Single Family Housing'!Y65+'New Single Family Housing'!Y95+'New Single Family Housing'!Y125+'New Single Family Housing'!Y275</f>
        <v>0</v>
      </c>
      <c r="G61" s="114">
        <f>'New Single Family Housing'!Z35+'New Single Family Housing'!Z65+'New Single Family Housing'!Z95+'New Single Family Housing'!Z125+'New Single Family Housing'!Z275</f>
        <v>0</v>
      </c>
      <c r="H61" s="114">
        <f>F61</f>
        <v>0</v>
      </c>
      <c r="I61" s="114">
        <f>G61</f>
        <v>0</v>
      </c>
    </row>
    <row r="62" spans="1:10" ht="15.5" x14ac:dyDescent="0.35">
      <c r="A62" s="65">
        <v>44197</v>
      </c>
      <c r="B62" s="113">
        <f>'New Single Family Housing'!T36+'New Single Family Housing'!T66+'New Single Family Housing'!T96+'New Single Family Housing'!T126+'New Single Family Housing'!T276</f>
        <v>0</v>
      </c>
      <c r="C62" s="113">
        <f>'New Single Family Housing'!U36+'New Single Family Housing'!U66+'New Single Family Housing'!U96+'New Single Family Housing'!U126+'New Single Family Housing'!U276</f>
        <v>0</v>
      </c>
      <c r="D62" s="114">
        <f>D61+B62</f>
        <v>0</v>
      </c>
      <c r="E62" s="114">
        <f>E61+C62</f>
        <v>0</v>
      </c>
      <c r="F62" s="114">
        <f>'New Single Family Housing'!Y36+'New Single Family Housing'!Y66+'New Single Family Housing'!Y96+'New Single Family Housing'!Y126+'New Single Family Housing'!Y276</f>
        <v>0</v>
      </c>
      <c r="G62" s="114">
        <f>'New Single Family Housing'!Z36+'New Single Family Housing'!Z66+'New Single Family Housing'!Z96+'New Single Family Housing'!Z126+'New Single Family Housing'!Z276</f>
        <v>0</v>
      </c>
      <c r="H62" s="114">
        <f>H61+F62</f>
        <v>0</v>
      </c>
      <c r="I62" s="114">
        <f>I61+G62</f>
        <v>0</v>
      </c>
    </row>
    <row r="63" spans="1:10" ht="15.5" x14ac:dyDescent="0.35">
      <c r="A63" s="65">
        <v>44287</v>
      </c>
      <c r="B63" s="113">
        <f>'New Single Family Housing'!T37+'New Single Family Housing'!T67+'New Single Family Housing'!T97+'New Single Family Housing'!T127+'New Single Family Housing'!T277</f>
        <v>0</v>
      </c>
      <c r="C63" s="113">
        <f>'New Single Family Housing'!U37+'New Single Family Housing'!U67+'New Single Family Housing'!U97+'New Single Family Housing'!U127+'New Single Family Housing'!U277</f>
        <v>0</v>
      </c>
      <c r="D63" s="114">
        <f t="shared" ref="D63:D84" si="10">D62+B63</f>
        <v>0</v>
      </c>
      <c r="E63" s="114">
        <f t="shared" ref="E63:E84" si="11">E62+C63</f>
        <v>0</v>
      </c>
      <c r="F63" s="114">
        <f>'New Single Family Housing'!Y37+'New Single Family Housing'!Y67+'New Single Family Housing'!Y97+'New Single Family Housing'!Y127+'New Single Family Housing'!Y277</f>
        <v>0</v>
      </c>
      <c r="G63" s="114">
        <f>'New Single Family Housing'!Z37+'New Single Family Housing'!Z67+'New Single Family Housing'!Z97+'New Single Family Housing'!Z127+'New Single Family Housing'!Z277</f>
        <v>0</v>
      </c>
      <c r="H63" s="114">
        <f t="shared" ref="H63:H84" si="12">H62+F63</f>
        <v>0</v>
      </c>
      <c r="I63" s="114">
        <f t="shared" ref="I63:I84" si="13">I62+G63</f>
        <v>0</v>
      </c>
    </row>
    <row r="64" spans="1:10" ht="15.5" x14ac:dyDescent="0.35">
      <c r="A64" s="65">
        <v>44378</v>
      </c>
      <c r="B64" s="113">
        <f>'New Single Family Housing'!T38+'New Single Family Housing'!T68+'New Single Family Housing'!T98+'New Single Family Housing'!T128+'New Single Family Housing'!T278</f>
        <v>0</v>
      </c>
      <c r="C64" s="113">
        <f>'New Single Family Housing'!U38+'New Single Family Housing'!U68+'New Single Family Housing'!U98+'New Single Family Housing'!U128+'New Single Family Housing'!U278</f>
        <v>0</v>
      </c>
      <c r="D64" s="114">
        <f t="shared" si="10"/>
        <v>0</v>
      </c>
      <c r="E64" s="114">
        <f t="shared" si="11"/>
        <v>0</v>
      </c>
      <c r="F64" s="114">
        <f>'New Single Family Housing'!Y38+'New Single Family Housing'!Y68+'New Single Family Housing'!Y98+'New Single Family Housing'!Y128+'New Single Family Housing'!Y278</f>
        <v>0</v>
      </c>
      <c r="G64" s="114">
        <f>'New Single Family Housing'!Z38+'New Single Family Housing'!Z68+'New Single Family Housing'!Z98+'New Single Family Housing'!Z128+'New Single Family Housing'!Z278</f>
        <v>0</v>
      </c>
      <c r="H64" s="114">
        <f t="shared" si="12"/>
        <v>0</v>
      </c>
      <c r="I64" s="114">
        <f t="shared" si="13"/>
        <v>0</v>
      </c>
    </row>
    <row r="65" spans="1:9" ht="15.5" x14ac:dyDescent="0.35">
      <c r="A65" s="65">
        <v>44470</v>
      </c>
      <c r="B65" s="113">
        <f>'New Single Family Housing'!T39+'New Single Family Housing'!T69+'New Single Family Housing'!T99+'New Single Family Housing'!T129+'New Single Family Housing'!T279</f>
        <v>0</v>
      </c>
      <c r="C65" s="113">
        <f>'New Single Family Housing'!U39+'New Single Family Housing'!U69+'New Single Family Housing'!U99+'New Single Family Housing'!U129+'New Single Family Housing'!U279</f>
        <v>0</v>
      </c>
      <c r="D65" s="114">
        <f t="shared" si="10"/>
        <v>0</v>
      </c>
      <c r="E65" s="114">
        <f t="shared" si="11"/>
        <v>0</v>
      </c>
      <c r="F65" s="114">
        <f>'New Single Family Housing'!Y39+'New Single Family Housing'!Y69+'New Single Family Housing'!Y99+'New Single Family Housing'!Y129+'New Single Family Housing'!Y279</f>
        <v>0</v>
      </c>
      <c r="G65" s="114">
        <f>'New Single Family Housing'!Z39+'New Single Family Housing'!Z69+'New Single Family Housing'!Z99+'New Single Family Housing'!Z129+'New Single Family Housing'!Z279</f>
        <v>0</v>
      </c>
      <c r="H65" s="114">
        <f t="shared" si="12"/>
        <v>0</v>
      </c>
      <c r="I65" s="114">
        <f t="shared" si="13"/>
        <v>0</v>
      </c>
    </row>
    <row r="66" spans="1:9" ht="15.5" x14ac:dyDescent="0.35">
      <c r="A66" s="65">
        <v>44562</v>
      </c>
      <c r="B66" s="113">
        <f>'New Single Family Housing'!T40+'New Single Family Housing'!T70+'New Single Family Housing'!T100+'New Single Family Housing'!T130+'New Single Family Housing'!T280</f>
        <v>0</v>
      </c>
      <c r="C66" s="113">
        <f>'New Single Family Housing'!U40+'New Single Family Housing'!U70+'New Single Family Housing'!U100+'New Single Family Housing'!U130+'New Single Family Housing'!U280</f>
        <v>0</v>
      </c>
      <c r="D66" s="114">
        <f t="shared" si="10"/>
        <v>0</v>
      </c>
      <c r="E66" s="114">
        <f t="shared" si="11"/>
        <v>0</v>
      </c>
      <c r="F66" s="114">
        <f>'New Single Family Housing'!Y40+'New Single Family Housing'!Y70+'New Single Family Housing'!Y100+'New Single Family Housing'!Y130+'New Single Family Housing'!Y280</f>
        <v>0</v>
      </c>
      <c r="G66" s="114">
        <f>'New Single Family Housing'!Z40+'New Single Family Housing'!Z70+'New Single Family Housing'!Z100+'New Single Family Housing'!Z130+'New Single Family Housing'!Z280</f>
        <v>0</v>
      </c>
      <c r="H66" s="114">
        <f t="shared" si="12"/>
        <v>0</v>
      </c>
      <c r="I66" s="114">
        <f t="shared" si="13"/>
        <v>0</v>
      </c>
    </row>
    <row r="67" spans="1:9" ht="15.5" x14ac:dyDescent="0.35">
      <c r="A67" s="65">
        <v>44652</v>
      </c>
      <c r="B67" s="113">
        <f>'New Single Family Housing'!T41+'New Single Family Housing'!T71+'New Single Family Housing'!T101+'New Single Family Housing'!T131+'New Single Family Housing'!T281</f>
        <v>3039583.6503832438</v>
      </c>
      <c r="C67" s="113">
        <f>'New Single Family Housing'!U41+'New Single Family Housing'!U71+'New Single Family Housing'!U101+'New Single Family Housing'!U131+'New Single Family Housing'!U281</f>
        <v>0</v>
      </c>
      <c r="D67" s="114">
        <f t="shared" si="10"/>
        <v>3039583.6503832438</v>
      </c>
      <c r="E67" s="114">
        <f t="shared" si="11"/>
        <v>0</v>
      </c>
      <c r="F67" s="114">
        <f>'New Single Family Housing'!Y41+'New Single Family Housing'!Y71+'New Single Family Housing'!Y101+'New Single Family Housing'!Y131+'New Single Family Housing'!Y281</f>
        <v>6631.0160427807496</v>
      </c>
      <c r="G67" s="114">
        <f>'New Single Family Housing'!Z41+'New Single Family Housing'!Z71+'New Single Family Housing'!Z101+'New Single Family Housing'!Z131+'New Single Family Housing'!Z281</f>
        <v>0</v>
      </c>
      <c r="H67" s="114">
        <f t="shared" si="12"/>
        <v>6631.0160427807496</v>
      </c>
      <c r="I67" s="114">
        <f t="shared" si="13"/>
        <v>0</v>
      </c>
    </row>
    <row r="68" spans="1:9" ht="15.5" x14ac:dyDescent="0.35">
      <c r="A68" s="65">
        <v>44743</v>
      </c>
      <c r="B68" s="113">
        <f>'New Single Family Housing'!T42+'New Single Family Housing'!T72+'New Single Family Housing'!T102+'New Single Family Housing'!T132+'New Single Family Housing'!T282</f>
        <v>3039583.6503832438</v>
      </c>
      <c r="C68" s="113">
        <f>'New Single Family Housing'!U42+'New Single Family Housing'!U72+'New Single Family Housing'!U102+'New Single Family Housing'!U132+'New Single Family Housing'!U282</f>
        <v>133679</v>
      </c>
      <c r="D68" s="114">
        <f t="shared" si="10"/>
        <v>6079167.3007664876</v>
      </c>
      <c r="E68" s="114">
        <f t="shared" si="11"/>
        <v>133679</v>
      </c>
      <c r="F68" s="114">
        <f>'New Single Family Housing'!Y42+'New Single Family Housing'!Y72+'New Single Family Housing'!Y102+'New Single Family Housing'!Y132+'New Single Family Housing'!Y282</f>
        <v>6631.0160427807496</v>
      </c>
      <c r="G68" s="114">
        <f>'New Single Family Housing'!Z42+'New Single Family Housing'!Z72+'New Single Family Housing'!Z102+'New Single Family Housing'!Z132+'New Single Family Housing'!Z282</f>
        <v>2315</v>
      </c>
      <c r="H68" s="114">
        <f t="shared" si="12"/>
        <v>13262.032085561499</v>
      </c>
      <c r="I68" s="114">
        <f t="shared" si="13"/>
        <v>2315</v>
      </c>
    </row>
    <row r="69" spans="1:9" ht="15.5" x14ac:dyDescent="0.35">
      <c r="A69" s="65">
        <v>44835</v>
      </c>
      <c r="B69" s="113">
        <f>'New Single Family Housing'!T43+'New Single Family Housing'!T73+'New Single Family Housing'!T103+'New Single Family Housing'!T133+'New Single Family Housing'!T283</f>
        <v>3039583.6503832438</v>
      </c>
      <c r="C69" s="113">
        <f>'New Single Family Housing'!U43+'New Single Family Housing'!U73+'New Single Family Housing'!U103+'New Single Family Housing'!U133+'New Single Family Housing'!U283</f>
        <v>3788443</v>
      </c>
      <c r="D69" s="114">
        <f t="shared" si="10"/>
        <v>9118750.9511497319</v>
      </c>
      <c r="E69" s="114">
        <f t="shared" si="11"/>
        <v>3922122</v>
      </c>
      <c r="F69" s="114">
        <f>'New Single Family Housing'!Y43+'New Single Family Housing'!Y73+'New Single Family Housing'!Y103+'New Single Family Housing'!Y133+'New Single Family Housing'!Y283</f>
        <v>6631.0160427807496</v>
      </c>
      <c r="G69" s="114">
        <f>'New Single Family Housing'!Z43+'New Single Family Housing'!Z73+'New Single Family Housing'!Z103+'New Single Family Housing'!Z133+'New Single Family Housing'!Z283</f>
        <v>26944</v>
      </c>
      <c r="H69" s="114">
        <f t="shared" si="12"/>
        <v>19893.048128342249</v>
      </c>
      <c r="I69" s="114">
        <f t="shared" si="13"/>
        <v>29259</v>
      </c>
    </row>
    <row r="70" spans="1:9" ht="15.5" x14ac:dyDescent="0.35">
      <c r="A70" s="65">
        <v>44927</v>
      </c>
      <c r="B70" s="113">
        <f>'New Single Family Housing'!T44+'New Single Family Housing'!T74+'New Single Family Housing'!T104+'New Single Family Housing'!T134+'New Single Family Housing'!T284</f>
        <v>3039583.6503832438</v>
      </c>
      <c r="C70" s="113">
        <f>'New Single Family Housing'!U44+'New Single Family Housing'!U74+'New Single Family Housing'!U104+'New Single Family Housing'!U134+'New Single Family Housing'!U284</f>
        <v>5949180.1900000004</v>
      </c>
      <c r="D70" s="114">
        <f t="shared" si="10"/>
        <v>12158334.601532975</v>
      </c>
      <c r="E70" s="114">
        <f t="shared" si="11"/>
        <v>9871302.1900000013</v>
      </c>
      <c r="F70" s="114">
        <f>'New Single Family Housing'!Y44+'New Single Family Housing'!Y74+'New Single Family Housing'!Y104+'New Single Family Housing'!Y134+'New Single Family Housing'!Y284</f>
        <v>6631.0160427807496</v>
      </c>
      <c r="G70" s="114">
        <f>'New Single Family Housing'!Z44+'New Single Family Housing'!Z74+'New Single Family Housing'!Z104+'New Single Family Housing'!Z134+'New Single Family Housing'!Z284</f>
        <v>52729</v>
      </c>
      <c r="H70" s="114">
        <f t="shared" si="12"/>
        <v>26524.064171122998</v>
      </c>
      <c r="I70" s="114">
        <f t="shared" si="13"/>
        <v>81988</v>
      </c>
    </row>
    <row r="71" spans="1:9" ht="15.5" x14ac:dyDescent="0.35">
      <c r="A71" s="65">
        <v>45017</v>
      </c>
      <c r="B71" s="113">
        <f>'New Single Family Housing'!T45+'New Single Family Housing'!T75+'New Single Family Housing'!T105+'New Single Family Housing'!T135+'New Single Family Housing'!T285</f>
        <v>3039583.6503832438</v>
      </c>
      <c r="C71" s="113">
        <f>'New Single Family Housing'!U45+'New Single Family Housing'!U75+'New Single Family Housing'!U105+'New Single Family Housing'!U135+'New Single Family Housing'!U285</f>
        <v>2831165.14</v>
      </c>
      <c r="D71" s="114">
        <f t="shared" si="10"/>
        <v>15197918.251916219</v>
      </c>
      <c r="E71" s="114">
        <f t="shared" si="11"/>
        <v>12702467.330000002</v>
      </c>
      <c r="F71" s="114">
        <f>'New Single Family Housing'!Y45+'New Single Family Housing'!Y75+'New Single Family Housing'!Y105+'New Single Family Housing'!Y135+'New Single Family Housing'!Y285</f>
        <v>6631.0160427807496</v>
      </c>
      <c r="G71" s="114">
        <f>'New Single Family Housing'!Z45+'New Single Family Housing'!Z75+'New Single Family Housing'!Z105+'New Single Family Housing'!Z135+'New Single Family Housing'!Z285</f>
        <v>2162</v>
      </c>
      <c r="H71" s="114">
        <f t="shared" si="12"/>
        <v>33155.080213903748</v>
      </c>
      <c r="I71" s="114">
        <f t="shared" si="13"/>
        <v>84150</v>
      </c>
    </row>
    <row r="72" spans="1:9" ht="15.5" x14ac:dyDescent="0.35">
      <c r="A72" s="65">
        <v>45108</v>
      </c>
      <c r="B72" s="113">
        <f>'New Single Family Housing'!T46+'New Single Family Housing'!T76+'New Single Family Housing'!T106+'New Single Family Housing'!T136+'New Single Family Housing'!T286</f>
        <v>3039583.6503832438</v>
      </c>
      <c r="C72" s="113">
        <f>'New Single Family Housing'!U46+'New Single Family Housing'!U76+'New Single Family Housing'!U106+'New Single Family Housing'!U136+'New Single Family Housing'!U286</f>
        <v>2911966.1</v>
      </c>
      <c r="D72" s="114">
        <f t="shared" si="10"/>
        <v>18237501.902299464</v>
      </c>
      <c r="E72" s="114">
        <f t="shared" si="11"/>
        <v>15614433.430000002</v>
      </c>
      <c r="F72" s="114">
        <f>'New Single Family Housing'!Y46+'New Single Family Housing'!Y76+'New Single Family Housing'!Y106+'New Single Family Housing'!Y136+'New Single Family Housing'!Y286</f>
        <v>6631.0160427807496</v>
      </c>
      <c r="G72" s="114">
        <f>'New Single Family Housing'!Z46+'New Single Family Housing'!Z76+'New Single Family Housing'!Z106+'New Single Family Housing'!Z136+'New Single Family Housing'!Z286</f>
        <v>-14734</v>
      </c>
      <c r="H72" s="114">
        <f t="shared" si="12"/>
        <v>39786.096256684497</v>
      </c>
      <c r="I72" s="114">
        <f t="shared" si="13"/>
        <v>69416</v>
      </c>
    </row>
    <row r="73" spans="1:9" ht="15.5" x14ac:dyDescent="0.35">
      <c r="A73" s="65">
        <v>45200</v>
      </c>
      <c r="B73" s="113">
        <f>'New Single Family Housing'!T47+'New Single Family Housing'!T77+'New Single Family Housing'!T107+'New Single Family Housing'!T137+'New Single Family Housing'!T287</f>
        <v>3039583.6503832438</v>
      </c>
      <c r="C73" s="113">
        <f>'New Single Family Housing'!U47+'New Single Family Housing'!U77+'New Single Family Housing'!U107+'New Single Family Housing'!U137+'New Single Family Housing'!U287</f>
        <v>5241909.76</v>
      </c>
      <c r="D73" s="114">
        <f t="shared" si="10"/>
        <v>21277085.552682709</v>
      </c>
      <c r="E73" s="114">
        <f t="shared" si="11"/>
        <v>20856343.190000001</v>
      </c>
      <c r="F73" s="114">
        <f>'New Single Family Housing'!Y47+'New Single Family Housing'!Y77+'New Single Family Housing'!Y107+'New Single Family Housing'!Y137+'New Single Family Housing'!Y287</f>
        <v>6631.0160427807496</v>
      </c>
      <c r="G73" s="114">
        <f>'New Single Family Housing'!Z47+'New Single Family Housing'!Z77+'New Single Family Housing'!Z107+'New Single Family Housing'!Z137+'New Single Family Housing'!Z287</f>
        <v>0</v>
      </c>
      <c r="H73" s="114">
        <f t="shared" si="12"/>
        <v>46417.112299465247</v>
      </c>
      <c r="I73" s="114">
        <f t="shared" si="13"/>
        <v>69416</v>
      </c>
    </row>
    <row r="74" spans="1:9" ht="15.5" x14ac:dyDescent="0.35">
      <c r="A74" s="65">
        <v>45292</v>
      </c>
      <c r="B74" s="113">
        <f>'New Single Family Housing'!T48+'New Single Family Housing'!T78+'New Single Family Housing'!T108+'New Single Family Housing'!T138+'New Single Family Housing'!T288</f>
        <v>3039583.6503832438</v>
      </c>
      <c r="C74" s="113">
        <f>'New Single Family Housing'!U48+'New Single Family Housing'!U78+'New Single Family Housing'!U108+'New Single Family Housing'!U138+'New Single Family Housing'!U288</f>
        <v>1946946.97</v>
      </c>
      <c r="D74" s="114">
        <f t="shared" si="10"/>
        <v>24316669.203065954</v>
      </c>
      <c r="E74" s="114">
        <f t="shared" si="11"/>
        <v>22803290.16</v>
      </c>
      <c r="F74" s="114">
        <f>'New Single Family Housing'!Y48+'New Single Family Housing'!Y78+'New Single Family Housing'!Y108+'New Single Family Housing'!Y138+'New Single Family Housing'!Y288</f>
        <v>6631.0160427807496</v>
      </c>
      <c r="G74" s="114">
        <f>'New Single Family Housing'!Z48+'New Single Family Housing'!Z78+'New Single Family Housing'!Z108+'New Single Family Housing'!Z138+'New Single Family Housing'!Z288</f>
        <v>2162</v>
      </c>
      <c r="H74" s="114">
        <f t="shared" si="12"/>
        <v>53048.128342245996</v>
      </c>
      <c r="I74" s="114">
        <f t="shared" si="13"/>
        <v>71578</v>
      </c>
    </row>
    <row r="75" spans="1:9" ht="15.5" x14ac:dyDescent="0.35">
      <c r="A75" s="65">
        <v>45383</v>
      </c>
      <c r="B75" s="113">
        <f>'New Single Family Housing'!T49+'New Single Family Housing'!T79+'New Single Family Housing'!T109+'New Single Family Housing'!T139+'New Single Family Housing'!T289</f>
        <v>3039583.6503832438</v>
      </c>
      <c r="C75" s="113">
        <f>'New Single Family Housing'!U49+'New Single Family Housing'!U79+'New Single Family Housing'!U109+'New Single Family Housing'!U139+'New Single Family Housing'!U289</f>
        <v>216318.38</v>
      </c>
      <c r="D75" s="114">
        <f t="shared" si="10"/>
        <v>27356252.853449199</v>
      </c>
      <c r="E75" s="114">
        <f t="shared" si="11"/>
        <v>23019608.539999999</v>
      </c>
      <c r="F75" s="114">
        <f>'New Single Family Housing'!Y49+'New Single Family Housing'!Y79+'New Single Family Housing'!Y109+'New Single Family Housing'!Y139+'New Single Family Housing'!Y289</f>
        <v>6631.0160427807496</v>
      </c>
      <c r="G75" s="114">
        <f>'New Single Family Housing'!Z49+'New Single Family Housing'!Z79+'New Single Family Housing'!Z109+'New Single Family Housing'!Z139+'New Single Family Housing'!Z289</f>
        <v>0</v>
      </c>
      <c r="H75" s="114">
        <f t="shared" si="12"/>
        <v>59679.144385026746</v>
      </c>
      <c r="I75" s="114">
        <f t="shared" si="13"/>
        <v>71578</v>
      </c>
    </row>
    <row r="76" spans="1:9" ht="15.5" x14ac:dyDescent="0.35">
      <c r="A76" s="65">
        <v>45474</v>
      </c>
      <c r="B76" s="113">
        <f>'New Single Family Housing'!T50+'New Single Family Housing'!T80+'New Single Family Housing'!T110+'New Single Family Housing'!T140+'New Single Family Housing'!T290</f>
        <v>3039583.6503832438</v>
      </c>
      <c r="C76" s="113">
        <f>'New Single Family Housing'!U50+'New Single Family Housing'!U80+'New Single Family Housing'!U110+'New Single Family Housing'!U140+'New Single Family Housing'!U290</f>
        <v>1927161.4100000001</v>
      </c>
      <c r="D76" s="114">
        <f t="shared" si="10"/>
        <v>30395836.503832445</v>
      </c>
      <c r="E76" s="114">
        <f t="shared" si="11"/>
        <v>24946769.949999999</v>
      </c>
      <c r="F76" s="114">
        <f>'New Single Family Housing'!Y50+'New Single Family Housing'!Y80+'New Single Family Housing'!Y110+'New Single Family Housing'!Y140+'New Single Family Housing'!Y290</f>
        <v>6631.0160427807496</v>
      </c>
      <c r="G76" s="114">
        <f>'New Single Family Housing'!Z50+'New Single Family Housing'!Z80+'New Single Family Housing'!Z110+'New Single Family Housing'!Z140+'New Single Family Housing'!Z290</f>
        <v>0</v>
      </c>
      <c r="H76" s="114">
        <f t="shared" si="12"/>
        <v>66310.160427807496</v>
      </c>
      <c r="I76" s="114">
        <f t="shared" si="13"/>
        <v>71578</v>
      </c>
    </row>
    <row r="77" spans="1:9" ht="15.5" x14ac:dyDescent="0.35">
      <c r="A77" s="2">
        <v>45566</v>
      </c>
      <c r="B77" s="115">
        <f>'New Single Family Housing'!T51+'New Single Family Housing'!T81+'New Single Family Housing'!T111+'New Single Family Housing'!T141+'New Single Family Housing'!T291</f>
        <v>3039583.6503832438</v>
      </c>
      <c r="C77" s="115">
        <f>'New Single Family Housing'!U51+'New Single Family Housing'!U81+'New Single Family Housing'!U111+'New Single Family Housing'!U141+'New Single Family Housing'!U291</f>
        <v>0</v>
      </c>
      <c r="D77" s="33">
        <f t="shared" si="10"/>
        <v>33435420.15421569</v>
      </c>
      <c r="E77" s="33">
        <f t="shared" si="11"/>
        <v>24946769.949999999</v>
      </c>
      <c r="F77" s="33">
        <f>'New Single Family Housing'!Y51+'New Single Family Housing'!Y81+'New Single Family Housing'!Y111+'New Single Family Housing'!Y141+'New Single Family Housing'!Y291</f>
        <v>6631.0160427807496</v>
      </c>
      <c r="G77" s="33">
        <f>'New Single Family Housing'!Z51+'New Single Family Housing'!Z81+'New Single Family Housing'!Z111+'New Single Family Housing'!Z141+'New Single Family Housing'!Z291</f>
        <v>0</v>
      </c>
      <c r="H77" s="33">
        <f t="shared" si="12"/>
        <v>72941.176470588252</v>
      </c>
      <c r="I77" s="33">
        <f t="shared" si="13"/>
        <v>71578</v>
      </c>
    </row>
    <row r="78" spans="1:9" ht="15.5" x14ac:dyDescent="0.35">
      <c r="A78" s="2">
        <v>45658</v>
      </c>
      <c r="B78" s="115">
        <f>'New Single Family Housing'!T52+'New Single Family Housing'!T82+'New Single Family Housing'!T112+'New Single Family Housing'!T142+'New Single Family Housing'!T292</f>
        <v>3012047.6640196075</v>
      </c>
      <c r="C78" s="115">
        <f>'New Single Family Housing'!U52+'New Single Family Housing'!U82+'New Single Family Housing'!U112+'New Single Family Housing'!U142+'New Single Family Housing'!U292</f>
        <v>0</v>
      </c>
      <c r="D78" s="33">
        <f t="shared" si="10"/>
        <v>36447467.8182353</v>
      </c>
      <c r="E78" s="33">
        <f t="shared" si="11"/>
        <v>24946769.949999999</v>
      </c>
      <c r="F78" s="33">
        <f>'New Single Family Housing'!Y52+'New Single Family Housing'!Y82+'New Single Family Housing'!Y112+'New Single Family Housing'!Y142+'New Single Family Housing'!Y292</f>
        <v>6176.4705882352937</v>
      </c>
      <c r="G78" s="33">
        <f>'New Single Family Housing'!Z52+'New Single Family Housing'!Z82+'New Single Family Housing'!Z112+'New Single Family Housing'!Z142+'New Single Family Housing'!Z292</f>
        <v>0</v>
      </c>
      <c r="H78" s="33">
        <f t="shared" si="12"/>
        <v>79117.647058823553</v>
      </c>
      <c r="I78" s="33">
        <f t="shared" si="13"/>
        <v>71578</v>
      </c>
    </row>
    <row r="79" spans="1:9" ht="15.5" x14ac:dyDescent="0.35">
      <c r="A79" s="2">
        <v>45748</v>
      </c>
      <c r="B79" s="115">
        <f>'New Single Family Housing'!T53+'New Single Family Housing'!T83+'New Single Family Housing'!T113+'New Single Family Housing'!T143+'New Single Family Housing'!T293</f>
        <v>406940.3823529412</v>
      </c>
      <c r="C79" s="115">
        <f>'New Single Family Housing'!U53+'New Single Family Housing'!U83+'New Single Family Housing'!U113+'New Single Family Housing'!U143+'New Single Family Housing'!U293</f>
        <v>0</v>
      </c>
      <c r="D79" s="33">
        <f t="shared" si="10"/>
        <v>36854408.200588241</v>
      </c>
      <c r="E79" s="33">
        <f t="shared" si="11"/>
        <v>24946769.949999999</v>
      </c>
      <c r="F79" s="33">
        <f>'New Single Family Housing'!Y53+'New Single Family Housing'!Y83+'New Single Family Housing'!Y113+'New Single Family Housing'!Y143+'New Single Family Housing'!Y293</f>
        <v>1176.4705882352941</v>
      </c>
      <c r="G79" s="33">
        <f>'New Single Family Housing'!Z53+'New Single Family Housing'!Z83+'New Single Family Housing'!Z113+'New Single Family Housing'!Z143+'New Single Family Housing'!Z293</f>
        <v>0</v>
      </c>
      <c r="H79" s="33">
        <f t="shared" si="12"/>
        <v>80294.117647058854</v>
      </c>
      <c r="I79" s="33">
        <f t="shared" si="13"/>
        <v>71578</v>
      </c>
    </row>
    <row r="80" spans="1:9" ht="15.5" x14ac:dyDescent="0.35">
      <c r="A80" s="2">
        <v>45839</v>
      </c>
      <c r="B80" s="115">
        <f>'New Single Family Housing'!T54+'New Single Family Housing'!T84+'New Single Family Housing'!T114+'New Single Family Housing'!T144+'New Single Family Housing'!T294</f>
        <v>406940.3823529412</v>
      </c>
      <c r="C80" s="115">
        <f>'New Single Family Housing'!U54+'New Single Family Housing'!U84+'New Single Family Housing'!U114+'New Single Family Housing'!U144+'New Single Family Housing'!U294</f>
        <v>0</v>
      </c>
      <c r="D80" s="33">
        <f t="shared" si="10"/>
        <v>37261348.582941182</v>
      </c>
      <c r="E80" s="33">
        <f t="shared" si="11"/>
        <v>24946769.949999999</v>
      </c>
      <c r="F80" s="33">
        <f>'New Single Family Housing'!Y54+'New Single Family Housing'!Y84+'New Single Family Housing'!Y114+'New Single Family Housing'!Y144+'New Single Family Housing'!Y294</f>
        <v>1176.4705882352941</v>
      </c>
      <c r="G80" s="33">
        <f>'New Single Family Housing'!Z54+'New Single Family Housing'!Z84+'New Single Family Housing'!Z114+'New Single Family Housing'!Z144+'New Single Family Housing'!Z294</f>
        <v>0</v>
      </c>
      <c r="H80" s="33">
        <f t="shared" si="12"/>
        <v>81470.588235294155</v>
      </c>
      <c r="I80" s="33">
        <f t="shared" si="13"/>
        <v>71578</v>
      </c>
    </row>
    <row r="81" spans="1:10" ht="15.5" x14ac:dyDescent="0.35">
      <c r="A81" s="2">
        <v>45931</v>
      </c>
      <c r="B81" s="115">
        <f>'New Single Family Housing'!T55+'New Single Family Housing'!T85+'New Single Family Housing'!T115+'New Single Family Housing'!T145+'New Single Family Housing'!T295</f>
        <v>406940.3823529412</v>
      </c>
      <c r="C81" s="115">
        <f>'New Single Family Housing'!U55+'New Single Family Housing'!U85+'New Single Family Housing'!U115+'New Single Family Housing'!U145+'New Single Family Housing'!U295</f>
        <v>0</v>
      </c>
      <c r="D81" s="33">
        <f t="shared" si="10"/>
        <v>37668288.965294123</v>
      </c>
      <c r="E81" s="33">
        <f t="shared" si="11"/>
        <v>24946769.949999999</v>
      </c>
      <c r="F81" s="33">
        <f>'New Single Family Housing'!Y55+'New Single Family Housing'!Y85+'New Single Family Housing'!Y115+'New Single Family Housing'!Y145+'New Single Family Housing'!Y295</f>
        <v>1176.4705882352941</v>
      </c>
      <c r="G81" s="33">
        <f>'New Single Family Housing'!Z55+'New Single Family Housing'!Z85+'New Single Family Housing'!Z115+'New Single Family Housing'!Z145+'New Single Family Housing'!Z295</f>
        <v>0</v>
      </c>
      <c r="H81" s="33">
        <f t="shared" si="12"/>
        <v>82647.058823529456</v>
      </c>
      <c r="I81" s="33">
        <f t="shared" si="13"/>
        <v>71578</v>
      </c>
    </row>
    <row r="82" spans="1:10" ht="15.5" x14ac:dyDescent="0.35">
      <c r="A82" s="2">
        <v>46023</v>
      </c>
      <c r="B82" s="115">
        <f>'New Single Family Housing'!T56+'New Single Family Housing'!T86+'New Single Family Housing'!T116+'New Single Family Housing'!T146+'New Single Family Housing'!T296</f>
        <v>406940.3823529412</v>
      </c>
      <c r="C82" s="115">
        <f>'New Single Family Housing'!U56+'New Single Family Housing'!U86+'New Single Family Housing'!U116+'New Single Family Housing'!U146+'New Single Family Housing'!U296</f>
        <v>0</v>
      </c>
      <c r="D82" s="33">
        <f t="shared" si="10"/>
        <v>38075229.347647063</v>
      </c>
      <c r="E82" s="33">
        <f t="shared" si="11"/>
        <v>24946769.949999999</v>
      </c>
      <c r="F82" s="33">
        <f>'New Single Family Housing'!Y56+'New Single Family Housing'!Y86+'New Single Family Housing'!Y116+'New Single Family Housing'!Y146+'New Single Family Housing'!Y296</f>
        <v>1176.4705882352941</v>
      </c>
      <c r="G82" s="33">
        <f>'New Single Family Housing'!Z56+'New Single Family Housing'!Z86+'New Single Family Housing'!Z116+'New Single Family Housing'!Z146+'New Single Family Housing'!Z296</f>
        <v>0</v>
      </c>
      <c r="H82" s="33">
        <f t="shared" si="12"/>
        <v>83823.529411764757</v>
      </c>
      <c r="I82" s="33">
        <f t="shared" si="13"/>
        <v>71578</v>
      </c>
    </row>
    <row r="83" spans="1:10" ht="15.5" x14ac:dyDescent="0.35">
      <c r="A83" s="2">
        <v>46113</v>
      </c>
      <c r="B83" s="115">
        <f>'New Single Family Housing'!T57+'New Single Family Housing'!T87+'New Single Family Housing'!T117+'New Single Family Housing'!T147+'New Single Family Housing'!T297</f>
        <v>406940.3823529412</v>
      </c>
      <c r="C83" s="115">
        <f>'New Single Family Housing'!U57+'New Single Family Housing'!U87+'New Single Family Housing'!U117+'New Single Family Housing'!U147+'New Single Family Housing'!U297</f>
        <v>0</v>
      </c>
      <c r="D83" s="33">
        <f t="shared" si="10"/>
        <v>38482169.730000004</v>
      </c>
      <c r="E83" s="33">
        <f t="shared" si="11"/>
        <v>24946769.949999999</v>
      </c>
      <c r="F83" s="33">
        <f>'New Single Family Housing'!Y57+'New Single Family Housing'!Y87+'New Single Family Housing'!Y117+'New Single Family Housing'!Y147+'New Single Family Housing'!Y297</f>
        <v>1176.4705882352941</v>
      </c>
      <c r="G83" s="33">
        <f>'New Single Family Housing'!Z57+'New Single Family Housing'!Z87+'New Single Family Housing'!Z117+'New Single Family Housing'!Z147+'New Single Family Housing'!Z297</f>
        <v>0</v>
      </c>
      <c r="H83" s="33">
        <f t="shared" si="12"/>
        <v>85000.000000000058</v>
      </c>
      <c r="I83" s="33">
        <f t="shared" si="13"/>
        <v>71578</v>
      </c>
    </row>
    <row r="84" spans="1:10" ht="16" thickBot="1" x14ac:dyDescent="0.4">
      <c r="A84" s="2">
        <v>46204</v>
      </c>
      <c r="B84" s="115">
        <f>'New Single Family Housing'!T58+'New Single Family Housing'!T88+'New Single Family Housing'!T118+'New Single Family Housing'!T148+'New Single Family Housing'!T298</f>
        <v>0</v>
      </c>
      <c r="C84" s="115">
        <f>'New Single Family Housing'!U58+'New Single Family Housing'!U88+'New Single Family Housing'!U118+'New Single Family Housing'!U148+'New Single Family Housing'!U298</f>
        <v>0</v>
      </c>
      <c r="D84" s="33">
        <f t="shared" si="10"/>
        <v>38482169.730000004</v>
      </c>
      <c r="E84" s="33">
        <f t="shared" si="11"/>
        <v>24946769.949999999</v>
      </c>
      <c r="F84" s="33">
        <f>'New Single Family Housing'!Y58+'New Single Family Housing'!Y88+'New Single Family Housing'!Y118+'New Single Family Housing'!Y148+'New Single Family Housing'!Y298</f>
        <v>0</v>
      </c>
      <c r="G84" s="33">
        <f>'New Single Family Housing'!Z58+'New Single Family Housing'!Z88+'New Single Family Housing'!Z118+'New Single Family Housing'!Z148+'New Single Family Housing'!Z298</f>
        <v>0</v>
      </c>
      <c r="H84" s="33">
        <f t="shared" si="12"/>
        <v>85000.000000000058</v>
      </c>
      <c r="I84" s="33">
        <f t="shared" si="13"/>
        <v>71578</v>
      </c>
    </row>
    <row r="85" spans="1:10" ht="15" thickTop="1" x14ac:dyDescent="0.35">
      <c r="A85" s="61" t="s">
        <v>13</v>
      </c>
      <c r="B85" s="58">
        <f>SUM(B61:B84)</f>
        <v>38482169.730000004</v>
      </c>
      <c r="C85" s="58">
        <f>SUM(C61:C84)</f>
        <v>24946769.949999999</v>
      </c>
      <c r="D85" s="60">
        <f>D84</f>
        <v>38482169.730000004</v>
      </c>
      <c r="E85" s="60">
        <f>E84</f>
        <v>24946769.949999999</v>
      </c>
      <c r="F85" s="60">
        <f>SUM(F61:F84)</f>
        <v>85000.000000000058</v>
      </c>
      <c r="G85" s="60">
        <f>SUM(G61:G84)</f>
        <v>71578</v>
      </c>
      <c r="H85" s="60">
        <f>H84</f>
        <v>85000.000000000058</v>
      </c>
      <c r="I85" s="60">
        <f>I84</f>
        <v>71578</v>
      </c>
      <c r="J85" s="47"/>
    </row>
    <row r="86" spans="1:10" x14ac:dyDescent="0.35">
      <c r="A86" s="63" t="s">
        <v>87</v>
      </c>
      <c r="B86" s="121">
        <f>D85+F85</f>
        <v>38567169.730000004</v>
      </c>
      <c r="C86" s="121"/>
      <c r="D86" s="47"/>
      <c r="E86" s="47"/>
      <c r="F86" s="47"/>
      <c r="G86" s="47"/>
      <c r="H86" s="47"/>
      <c r="I86" s="47"/>
      <c r="J86" s="47"/>
    </row>
    <row r="87" spans="1:10" x14ac:dyDescent="0.35">
      <c r="A87" s="63" t="s">
        <v>88</v>
      </c>
      <c r="B87" s="121">
        <f>E85+I85</f>
        <v>25018347.949999999</v>
      </c>
      <c r="C87" s="121"/>
      <c r="D87" s="47"/>
      <c r="E87" s="47"/>
      <c r="F87" s="47"/>
      <c r="G87" s="47"/>
      <c r="H87" s="47"/>
      <c r="I87" s="47"/>
      <c r="J87" s="47"/>
    </row>
    <row r="90" spans="1:10" ht="29" x14ac:dyDescent="0.35">
      <c r="A90" s="62" t="s">
        <v>59</v>
      </c>
      <c r="B90" s="55" t="s">
        <v>28</v>
      </c>
      <c r="C90" s="56" t="s">
        <v>32</v>
      </c>
      <c r="D90" s="56" t="s">
        <v>29</v>
      </c>
      <c r="E90" s="56" t="s">
        <v>33</v>
      </c>
      <c r="F90" s="55" t="s">
        <v>35</v>
      </c>
      <c r="G90" s="56" t="s">
        <v>34</v>
      </c>
      <c r="H90" s="56" t="s">
        <v>36</v>
      </c>
      <c r="I90" s="56" t="s">
        <v>37</v>
      </c>
      <c r="J90" s="126"/>
    </row>
    <row r="91" spans="1:10" ht="15.5" x14ac:dyDescent="0.35">
      <c r="A91" s="65">
        <v>44105</v>
      </c>
      <c r="B91" s="113">
        <f>Buyouts!E4+Buyouts!E34+Buyouts!E64+Buyouts!E94+Buyouts!E125+Buyouts!E155+Buyouts!E185+Buyouts!E215+Buyouts!E245+Buyouts!E275+Buyouts!E305+Buyouts!E335</f>
        <v>0</v>
      </c>
      <c r="C91" s="113">
        <f>Buyouts!F4+Buyouts!F34+Buyouts!F64+Buyouts!F94+Buyouts!F125+Buyouts!F155+Buyouts!F185+Buyouts!F215+Buyouts!F245+Buyouts!F275+Buyouts!F305+Buyouts!F335</f>
        <v>0</v>
      </c>
      <c r="D91" s="113">
        <f>B91</f>
        <v>0</v>
      </c>
      <c r="E91" s="113">
        <f>C91</f>
        <v>0</v>
      </c>
      <c r="F91" s="113">
        <f>Buyouts!J4+Buyouts!J34+Buyouts!J64+Buyouts!J94+Buyouts!J125+Buyouts!J155+Buyouts!J185+Buyouts!J215+Buyouts!J245+Buyouts!J275+Buyouts!J305+Buyouts!J335</f>
        <v>0</v>
      </c>
      <c r="G91" s="113">
        <f>Buyouts!K4+Buyouts!K34+Buyouts!K64+Buyouts!K94+Buyouts!K125+Buyouts!K155+Buyouts!K185+Buyouts!K215+Buyouts!K245+Buyouts!K275+Buyouts!K305+Buyouts!K335</f>
        <v>0</v>
      </c>
      <c r="H91" s="113">
        <f>F91</f>
        <v>0</v>
      </c>
      <c r="I91" s="113">
        <f>G91</f>
        <v>0</v>
      </c>
    </row>
    <row r="92" spans="1:10" ht="15.5" x14ac:dyDescent="0.35">
      <c r="A92" s="65">
        <v>44197</v>
      </c>
      <c r="B92" s="113">
        <f>Buyouts!E5+Buyouts!E35+Buyouts!E65+Buyouts!E95+Buyouts!E126+Buyouts!E156+Buyouts!E186+Buyouts!E216+Buyouts!E246+Buyouts!E276+Buyouts!E306+Buyouts!E336</f>
        <v>0</v>
      </c>
      <c r="C92" s="113">
        <f>Buyouts!F5+Buyouts!F35+Buyouts!F65+Buyouts!F95+Buyouts!F126+Buyouts!F156+Buyouts!F186+Buyouts!F216+Buyouts!F246+Buyouts!F276+Buyouts!F306+Buyouts!F336</f>
        <v>0</v>
      </c>
      <c r="D92" s="113">
        <f>D91+B92</f>
        <v>0</v>
      </c>
      <c r="E92" s="113">
        <f>E91+C92</f>
        <v>0</v>
      </c>
      <c r="F92" s="113">
        <f>Buyouts!J5+Buyouts!J35+Buyouts!J65+Buyouts!J95+Buyouts!J126+Buyouts!J156+Buyouts!J186+Buyouts!J216+Buyouts!J246+Buyouts!J276+Buyouts!J306+Buyouts!J336</f>
        <v>0</v>
      </c>
      <c r="G92" s="113">
        <f>Buyouts!K5+Buyouts!K35+Buyouts!K65+Buyouts!K95+Buyouts!K126+Buyouts!K156+Buyouts!K186+Buyouts!K216+Buyouts!K246+Buyouts!K276+Buyouts!K306+Buyouts!K336</f>
        <v>0</v>
      </c>
      <c r="H92" s="113">
        <f>H91+F92</f>
        <v>0</v>
      </c>
      <c r="I92" s="113">
        <f>I91+G92</f>
        <v>0</v>
      </c>
    </row>
    <row r="93" spans="1:10" ht="15.5" x14ac:dyDescent="0.35">
      <c r="A93" s="65">
        <v>44287</v>
      </c>
      <c r="B93" s="113">
        <f>Buyouts!E6+Buyouts!E36+Buyouts!E66+Buyouts!E96+Buyouts!E127+Buyouts!E157+Buyouts!E187+Buyouts!E217+Buyouts!E247+Buyouts!E277+Buyouts!E307+Buyouts!E337</f>
        <v>618725.2111111111</v>
      </c>
      <c r="C93" s="113">
        <f>Buyouts!F6+Buyouts!F36+Buyouts!F66+Buyouts!F96+Buyouts!F127+Buyouts!F157+Buyouts!F187+Buyouts!F217+Buyouts!F247+Buyouts!F277+Buyouts!F307+Buyouts!F337</f>
        <v>0</v>
      </c>
      <c r="D93" s="113">
        <f t="shared" ref="D93:D114" si="14">D92+B93</f>
        <v>618725.2111111111</v>
      </c>
      <c r="E93" s="113">
        <f t="shared" ref="E93:E114" si="15">E92+C93</f>
        <v>0</v>
      </c>
      <c r="F93" s="113">
        <f>Buyouts!J6+Buyouts!J36+Buyouts!J66+Buyouts!J96+Buyouts!J127+Buyouts!J157+Buyouts!J187+Buyouts!J217+Buyouts!J247+Buyouts!J277+Buyouts!J307+Buyouts!J337</f>
        <v>20135</v>
      </c>
      <c r="G93" s="113">
        <f>Buyouts!K6+Buyouts!K36+Buyouts!K66+Buyouts!K96+Buyouts!K127+Buyouts!K157+Buyouts!K187+Buyouts!K217+Buyouts!K247+Buyouts!K277+Buyouts!K307+Buyouts!K337</f>
        <v>0</v>
      </c>
      <c r="H93" s="113">
        <f t="shared" ref="H93:H114" si="16">H92+F93</f>
        <v>20135</v>
      </c>
      <c r="I93" s="113">
        <f t="shared" ref="I93:I114" si="17">I92+G93</f>
        <v>0</v>
      </c>
    </row>
    <row r="94" spans="1:10" ht="15.5" x14ac:dyDescent="0.35">
      <c r="A94" s="65">
        <v>44378</v>
      </c>
      <c r="B94" s="113">
        <f>Buyouts!E7+Buyouts!E37+Buyouts!E67+Buyouts!E97+Buyouts!E128+Buyouts!E158+Buyouts!E188+Buyouts!E218+Buyouts!E248+Buyouts!E278+Buyouts!E308+Buyouts!E338</f>
        <v>629815.2111111111</v>
      </c>
      <c r="C94" s="113">
        <f>Buyouts!F7+Buyouts!F37+Buyouts!F67+Buyouts!F97+Buyouts!F128+Buyouts!F158+Buyouts!F188+Buyouts!F218+Buyouts!F248+Buyouts!F278+Buyouts!F308+Buyouts!F338</f>
        <v>4193217</v>
      </c>
      <c r="D94" s="113">
        <f t="shared" si="14"/>
        <v>1248540.4222222222</v>
      </c>
      <c r="E94" s="113">
        <f t="shared" si="15"/>
        <v>4193217</v>
      </c>
      <c r="F94" s="113">
        <f>Buyouts!J7+Buyouts!J37+Buyouts!J67+Buyouts!J97+Buyouts!J128+Buyouts!J158+Buyouts!J188+Buyouts!J218+Buyouts!J248+Buyouts!J278+Buyouts!J308+Buyouts!J338</f>
        <v>20510</v>
      </c>
      <c r="G94" s="113">
        <f>Buyouts!K7+Buyouts!K37+Buyouts!K67+Buyouts!K97+Buyouts!K128+Buyouts!K158+Buyouts!K188+Buyouts!K218+Buyouts!K248+Buyouts!K278+Buyouts!K308+Buyouts!K338</f>
        <v>85500</v>
      </c>
      <c r="H94" s="113">
        <f t="shared" si="16"/>
        <v>40645</v>
      </c>
      <c r="I94" s="113">
        <f t="shared" si="17"/>
        <v>85500</v>
      </c>
    </row>
    <row r="95" spans="1:10" ht="15.5" x14ac:dyDescent="0.35">
      <c r="A95" s="65">
        <v>44470</v>
      </c>
      <c r="B95" s="113">
        <f>Buyouts!E8+Buyouts!E38+Buyouts!E68+Buyouts!E98+Buyouts!E129+Buyouts!E159+Buyouts!E189+Buyouts!E219+Buyouts!E249+Buyouts!E279+Buyouts!E309+Buyouts!E339</f>
        <v>707290.86333333328</v>
      </c>
      <c r="C95" s="113">
        <f>Buyouts!F8+Buyouts!F38+Buyouts!F68+Buyouts!F98+Buyouts!F129+Buyouts!F159+Buyouts!F189+Buyouts!F219+Buyouts!F249+Buyouts!F279+Buyouts!F309+Buyouts!F339</f>
        <v>45444</v>
      </c>
      <c r="D95" s="113">
        <f t="shared" si="14"/>
        <v>1955831.2855555555</v>
      </c>
      <c r="E95" s="113">
        <f t="shared" si="15"/>
        <v>4238661</v>
      </c>
      <c r="F95" s="113">
        <f>Buyouts!J8+Buyouts!J38+Buyouts!J68+Buyouts!J98+Buyouts!J129+Buyouts!J159+Buyouts!J189+Buyouts!J219+Buyouts!J249+Buyouts!J279+Buyouts!J309+Buyouts!J339</f>
        <v>21426.666666666668</v>
      </c>
      <c r="G95" s="113">
        <f>Buyouts!K8+Buyouts!K38+Buyouts!K68+Buyouts!K98+Buyouts!K129+Buyouts!K159+Buyouts!K189+Buyouts!K219+Buyouts!K249+Buyouts!K279+Buyouts!K309+Buyouts!K339</f>
        <v>750</v>
      </c>
      <c r="H95" s="113">
        <f t="shared" si="16"/>
        <v>62071.666666666672</v>
      </c>
      <c r="I95" s="113">
        <f t="shared" si="17"/>
        <v>86250</v>
      </c>
    </row>
    <row r="96" spans="1:10" ht="15.5" x14ac:dyDescent="0.35">
      <c r="A96" s="65">
        <v>44562</v>
      </c>
      <c r="B96" s="113">
        <f>Buyouts!E9+Buyouts!E39+Buyouts!E69+Buyouts!E99+Buyouts!E130+Buyouts!E160+Buyouts!E190+Buyouts!E220+Buyouts!E250+Buyouts!E280+Buyouts!E310+Buyouts!E340</f>
        <v>711614.27111111116</v>
      </c>
      <c r="C96" s="113">
        <f>Buyouts!F9+Buyouts!F39+Buyouts!F69+Buyouts!F99+Buyouts!F130+Buyouts!F160+Buyouts!F190+Buyouts!F220+Buyouts!F250+Buyouts!F280+Buyouts!F310+Buyouts!F340</f>
        <v>619613</v>
      </c>
      <c r="D96" s="113">
        <f t="shared" si="14"/>
        <v>2667445.5566666666</v>
      </c>
      <c r="E96" s="113">
        <f t="shared" si="15"/>
        <v>4858274</v>
      </c>
      <c r="F96" s="113">
        <f>Buyouts!J9+Buyouts!J39+Buyouts!J69+Buyouts!J99+Buyouts!J130+Buyouts!J160+Buyouts!J190+Buyouts!J220+Buyouts!J250+Buyouts!J280+Buyouts!J310+Buyouts!J340</f>
        <v>21593.333333333332</v>
      </c>
      <c r="G96" s="113">
        <f>Buyouts!K9+Buyouts!K39+Buyouts!K69+Buyouts!K99+Buyouts!K130+Buyouts!K160+Buyouts!K190+Buyouts!K220+Buyouts!K250+Buyouts!K280+Buyouts!K310+Buyouts!K340</f>
        <v>750</v>
      </c>
      <c r="H96" s="113">
        <f t="shared" si="16"/>
        <v>83665</v>
      </c>
      <c r="I96" s="113">
        <f t="shared" si="17"/>
        <v>87000</v>
      </c>
    </row>
    <row r="97" spans="1:9" ht="15.5" x14ac:dyDescent="0.35">
      <c r="A97" s="65">
        <v>44652</v>
      </c>
      <c r="B97" s="113">
        <f>Buyouts!E10+Buyouts!E40+Buyouts!E70+Buyouts!E100+Buyouts!E131+Buyouts!E161+Buyouts!E191+Buyouts!E221+Buyouts!E251+Buyouts!E281+Buyouts!E311+Buyouts!E341</f>
        <v>711614.27111111116</v>
      </c>
      <c r="C97" s="113">
        <f>Buyouts!F10+Buyouts!F40+Buyouts!F70+Buyouts!F100+Buyouts!F131+Buyouts!F161+Buyouts!F191+Buyouts!F221+Buyouts!F251+Buyouts!F281+Buyouts!F311+Buyouts!F341</f>
        <v>844392</v>
      </c>
      <c r="D97" s="113">
        <f t="shared" si="14"/>
        <v>3379059.8277777778</v>
      </c>
      <c r="E97" s="113">
        <f t="shared" si="15"/>
        <v>5702666</v>
      </c>
      <c r="F97" s="113">
        <f>Buyouts!J10+Buyouts!J40+Buyouts!J70+Buyouts!J100+Buyouts!J131+Buyouts!J161+Buyouts!J191+Buyouts!J221+Buyouts!J251+Buyouts!J281+Buyouts!J311+Buyouts!J341</f>
        <v>21593.333333333332</v>
      </c>
      <c r="G97" s="113">
        <f>Buyouts!K10+Buyouts!K40+Buyouts!K70+Buyouts!K100+Buyouts!K131+Buyouts!K161+Buyouts!K191+Buyouts!K221+Buyouts!K251+Buyouts!K281+Buyouts!K311+Buyouts!K341</f>
        <v>0</v>
      </c>
      <c r="H97" s="113">
        <f t="shared" si="16"/>
        <v>105258.33333333333</v>
      </c>
      <c r="I97" s="113">
        <f t="shared" si="17"/>
        <v>87000</v>
      </c>
    </row>
    <row r="98" spans="1:9" ht="15.5" x14ac:dyDescent="0.35">
      <c r="A98" s="65">
        <v>44743</v>
      </c>
      <c r="B98" s="113">
        <f>Buyouts!E11+Buyouts!E41+Buyouts!E71+Buyouts!E101+Buyouts!E132+Buyouts!E162+Buyouts!E192+Buyouts!E222+Buyouts!E252+Buyouts!E282+Buyouts!E312+Buyouts!E342</f>
        <v>597666.0711111112</v>
      </c>
      <c r="C98" s="113">
        <f>Buyouts!F11+Buyouts!F41+Buyouts!F71+Buyouts!F101+Buyouts!F132+Buyouts!F162+Buyouts!F192+Buyouts!F222+Buyouts!F252+Buyouts!F282+Buyouts!F312+Buyouts!F342</f>
        <v>187934</v>
      </c>
      <c r="D98" s="113">
        <f t="shared" si="14"/>
        <v>3976725.8988888888</v>
      </c>
      <c r="E98" s="113">
        <f t="shared" si="15"/>
        <v>5890600</v>
      </c>
      <c r="F98" s="113">
        <f>Buyouts!J11+Buyouts!J41+Buyouts!J71+Buyouts!J101+Buyouts!J132+Buyouts!J162+Buyouts!J192+Buyouts!J222+Buyouts!J252+Buyouts!J282+Buyouts!J312+Buyouts!J342</f>
        <v>19793.333333333332</v>
      </c>
      <c r="G98" s="113">
        <f>Buyouts!K11+Buyouts!K41+Buyouts!K71+Buyouts!K101+Buyouts!K132+Buyouts!K162+Buyouts!K192+Buyouts!K222+Buyouts!K252+Buyouts!K282+Buyouts!K312+Buyouts!K342</f>
        <v>10500</v>
      </c>
      <c r="H98" s="113">
        <f t="shared" si="16"/>
        <v>125051.66666666666</v>
      </c>
      <c r="I98" s="113">
        <f t="shared" si="17"/>
        <v>97500</v>
      </c>
    </row>
    <row r="99" spans="1:9" ht="15.5" x14ac:dyDescent="0.35">
      <c r="A99" s="65">
        <v>44835</v>
      </c>
      <c r="B99" s="113">
        <f>Buyouts!E12+Buyouts!E42+Buyouts!E72+Buyouts!E102+Buyouts!E133+Buyouts!E163+Buyouts!E193+Buyouts!E223+Buyouts!E253+Buyouts!E283+Buyouts!E313+Buyouts!E343</f>
        <v>525865.5711111112</v>
      </c>
      <c r="C99" s="113">
        <f>Buyouts!F12+Buyouts!F42+Buyouts!F72+Buyouts!F102+Buyouts!F133+Buyouts!F163+Buyouts!F193+Buyouts!F223+Buyouts!F253+Buyouts!F283+Buyouts!F313+Buyouts!F343</f>
        <v>83628</v>
      </c>
      <c r="D99" s="113">
        <f t="shared" si="14"/>
        <v>4502591.47</v>
      </c>
      <c r="E99" s="113">
        <f t="shared" si="15"/>
        <v>5974228</v>
      </c>
      <c r="F99" s="113">
        <f>Buyouts!J12+Buyouts!J42+Buyouts!J72+Buyouts!J102+Buyouts!J133+Buyouts!J163+Buyouts!J193+Buyouts!J223+Buyouts!J253+Buyouts!J283+Buyouts!J313+Buyouts!J343</f>
        <v>17918.333333333332</v>
      </c>
      <c r="G99" s="113">
        <f>Buyouts!K12+Buyouts!K42+Buyouts!K72+Buyouts!K102+Buyouts!K133+Buyouts!K163+Buyouts!K193+Buyouts!K223+Buyouts!K253+Buyouts!K283+Buyouts!K313+Buyouts!K343</f>
        <v>53513</v>
      </c>
      <c r="H99" s="113">
        <f t="shared" si="16"/>
        <v>142970</v>
      </c>
      <c r="I99" s="113">
        <f t="shared" si="17"/>
        <v>151013</v>
      </c>
    </row>
    <row r="100" spans="1:9" ht="15.5" x14ac:dyDescent="0.35">
      <c r="A100" s="65">
        <v>44927</v>
      </c>
      <c r="B100" s="113">
        <f>Buyouts!E13+Buyouts!E43+Buyouts!E73+Buyouts!E103+Buyouts!E134+Buyouts!E164+Buyouts!E194+Buyouts!E224+Buyouts!E254+Buyouts!E284+Buyouts!E314+Buyouts!E344</f>
        <v>525865.5711111112</v>
      </c>
      <c r="C100" s="113">
        <f>Buyouts!F13+Buyouts!F43+Buyouts!F73+Buyouts!F103+Buyouts!F134+Buyouts!F164+Buyouts!F194+Buyouts!F224+Buyouts!F254+Buyouts!F284+Buyouts!F314+Buyouts!F344</f>
        <v>0</v>
      </c>
      <c r="D100" s="113">
        <f t="shared" si="14"/>
        <v>5028457.0411111107</v>
      </c>
      <c r="E100" s="113">
        <f t="shared" si="15"/>
        <v>5974228</v>
      </c>
      <c r="F100" s="113">
        <f>Buyouts!J13+Buyouts!J43+Buyouts!J73+Buyouts!J103+Buyouts!J134+Buyouts!J164+Buyouts!J194+Buyouts!J224+Buyouts!J254+Buyouts!J284+Buyouts!J314+Buyouts!J344</f>
        <v>17918.333333333332</v>
      </c>
      <c r="G100" s="113">
        <f>Buyouts!K13+Buyouts!K43+Buyouts!K73+Buyouts!K103+Buyouts!K134+Buyouts!K164+Buyouts!K194+Buyouts!K224+Buyouts!K254+Buyouts!K284+Buyouts!K314+Buyouts!K344</f>
        <v>3000</v>
      </c>
      <c r="H100" s="113">
        <f t="shared" si="16"/>
        <v>160888.33333333334</v>
      </c>
      <c r="I100" s="113">
        <f t="shared" si="17"/>
        <v>154013</v>
      </c>
    </row>
    <row r="101" spans="1:9" ht="15.5" x14ac:dyDescent="0.35">
      <c r="A101" s="65">
        <v>45017</v>
      </c>
      <c r="B101" s="113">
        <f>Buyouts!E14+Buyouts!E44+Buyouts!E74+Buyouts!E104+Buyouts!E135+Buyouts!E165+Buyouts!E195+Buyouts!E225+Buyouts!E255+Buyouts!E285+Buyouts!E315+Buyouts!E345</f>
        <v>525865.5711111112</v>
      </c>
      <c r="C101" s="113">
        <f>Buyouts!F14+Buyouts!F44+Buyouts!F74+Buyouts!F104+Buyouts!F135+Buyouts!F165+Buyouts!F195+Buyouts!F225+Buyouts!F255+Buyouts!F285+Buyouts!F315+Buyouts!F345</f>
        <v>56430</v>
      </c>
      <c r="D101" s="113">
        <f t="shared" si="14"/>
        <v>5554322.6122222217</v>
      </c>
      <c r="E101" s="113">
        <f t="shared" si="15"/>
        <v>6030658</v>
      </c>
      <c r="F101" s="113">
        <f>Buyouts!J14+Buyouts!J44+Buyouts!J74+Buyouts!J104+Buyouts!J135+Buyouts!J165+Buyouts!J195+Buyouts!J225+Buyouts!J255+Buyouts!J285+Buyouts!J315+Buyouts!J345</f>
        <v>17918.333333333332</v>
      </c>
      <c r="G101" s="113">
        <f>Buyouts!K14+Buyouts!K44+Buyouts!K74+Buyouts!K104+Buyouts!K135+Buyouts!K165+Buyouts!K195+Buyouts!K225+Buyouts!K255+Buyouts!K285+Buyouts!K315+Buyouts!K345</f>
        <v>0</v>
      </c>
      <c r="H101" s="113">
        <f t="shared" si="16"/>
        <v>178806.66666666669</v>
      </c>
      <c r="I101" s="113">
        <f t="shared" si="17"/>
        <v>154013</v>
      </c>
    </row>
    <row r="102" spans="1:9" ht="15.5" x14ac:dyDescent="0.35">
      <c r="A102" s="65">
        <v>45108</v>
      </c>
      <c r="B102" s="113">
        <f>Buyouts!E15+Buyouts!E45+Buyouts!E75+Buyouts!E105+Buyouts!E136+Buyouts!E166+Buyouts!E196+Buyouts!E226+Buyouts!E256+Buyouts!E286+Buyouts!E316+Buyouts!E346</f>
        <v>210422.79333333336</v>
      </c>
      <c r="C102" s="113">
        <f>Buyouts!F15+Buyouts!F45+Buyouts!F75+Buyouts!F105+Buyouts!F136+Buyouts!F166+Buyouts!F196+Buyouts!F226+Buyouts!F256+Buyouts!F286+Buyouts!F316+Buyouts!F346</f>
        <v>0</v>
      </c>
      <c r="D102" s="113">
        <f t="shared" si="14"/>
        <v>5764745.4055555547</v>
      </c>
      <c r="E102" s="113">
        <f t="shared" si="15"/>
        <v>6030658</v>
      </c>
      <c r="F102" s="113">
        <f>Buyouts!J15+Buyouts!J45+Buyouts!J75+Buyouts!J105+Buyouts!J136+Buyouts!J166+Buyouts!J196+Buyouts!J226+Buyouts!J256+Buyouts!J286+Buyouts!J316+Buyouts!J346</f>
        <v>9626.6666666666661</v>
      </c>
      <c r="G102" s="113">
        <f>Buyouts!K15+Buyouts!K45+Buyouts!K75+Buyouts!K105+Buyouts!K136+Buyouts!K166+Buyouts!K196+Buyouts!K226+Buyouts!K256+Buyouts!K286+Buyouts!K316+Buyouts!K346</f>
        <v>0</v>
      </c>
      <c r="H102" s="113">
        <f t="shared" si="16"/>
        <v>188433.33333333334</v>
      </c>
      <c r="I102" s="113">
        <f t="shared" si="17"/>
        <v>154013</v>
      </c>
    </row>
    <row r="103" spans="1:9" ht="15.5" x14ac:dyDescent="0.35">
      <c r="A103" s="65">
        <v>45200</v>
      </c>
      <c r="B103" s="113">
        <f>Buyouts!E16+Buyouts!E46+Buyouts!E76+Buyouts!E106+Buyouts!E137+Buyouts!E167+Buyouts!E197+Buyouts!E227+Buyouts!E257+Buyouts!E287+Buyouts!E317+Buyouts!E347</f>
        <v>210422.79333333336</v>
      </c>
      <c r="C103" s="113">
        <f>Buyouts!F16+Buyouts!F46+Buyouts!F76+Buyouts!F106+Buyouts!F137+Buyouts!F167+Buyouts!F197+Buyouts!F227+Buyouts!F257+Buyouts!F287+Buyouts!F317+Buyouts!F347</f>
        <v>146922.87</v>
      </c>
      <c r="D103" s="113">
        <f t="shared" si="14"/>
        <v>5975168.1988888877</v>
      </c>
      <c r="E103" s="113">
        <f t="shared" si="15"/>
        <v>6177580.8700000001</v>
      </c>
      <c r="F103" s="113">
        <f>Buyouts!J16+Buyouts!J46+Buyouts!J76+Buyouts!J106+Buyouts!J137+Buyouts!J167+Buyouts!J197+Buyouts!J227+Buyouts!J257+Buyouts!J287+Buyouts!J317+Buyouts!J347</f>
        <v>9626.6666666666661</v>
      </c>
      <c r="G103" s="113">
        <f>Buyouts!K16+Buyouts!K46+Buyouts!K76+Buyouts!K106+Buyouts!K137+Buyouts!K167+Buyouts!K197+Buyouts!K227+Buyouts!K257+Buyouts!K287+Buyouts!K317+Buyouts!K347</f>
        <v>2250</v>
      </c>
      <c r="H103" s="113">
        <f t="shared" si="16"/>
        <v>198060</v>
      </c>
      <c r="I103" s="113">
        <f t="shared" si="17"/>
        <v>156263</v>
      </c>
    </row>
    <row r="104" spans="1:9" ht="15.5" x14ac:dyDescent="0.35">
      <c r="A104" s="65">
        <v>45292</v>
      </c>
      <c r="B104" s="113">
        <f>Buyouts!E17+Buyouts!E47+Buyouts!E77+Buyouts!E107+Buyouts!E138+Buyouts!E168+Buyouts!E198+Buyouts!E228+Buyouts!E258+Buyouts!E288+Buyouts!E318+Buyouts!E348</f>
        <v>132947.14111111112</v>
      </c>
      <c r="C104" s="113">
        <f>Buyouts!F17+Buyouts!F47+Buyouts!F77+Buyouts!F107+Buyouts!F138+Buyouts!F168+Buyouts!F198+Buyouts!F228+Buyouts!F258+Buyouts!F288+Buyouts!F318+Buyouts!F348</f>
        <v>8001.67</v>
      </c>
      <c r="D104" s="113">
        <f t="shared" si="14"/>
        <v>6108115.3399999989</v>
      </c>
      <c r="E104" s="113">
        <f t="shared" si="15"/>
        <v>6185582.54</v>
      </c>
      <c r="F104" s="113">
        <f>Buyouts!J17+Buyouts!J47+Buyouts!J77+Buyouts!J107+Buyouts!J138+Buyouts!J168+Buyouts!J198+Buyouts!J228+Buyouts!J258+Buyouts!J288+Buyouts!J318+Buyouts!J348</f>
        <v>8710</v>
      </c>
      <c r="G104" s="113">
        <f>Buyouts!K17+Buyouts!K47+Buyouts!K77+Buyouts!K107+Buyouts!K138+Buyouts!K168+Buyouts!K198+Buyouts!K228+Buyouts!K258+Buyouts!K288+Buyouts!K318+Buyouts!K348</f>
        <v>0</v>
      </c>
      <c r="H104" s="113">
        <f t="shared" si="16"/>
        <v>206770</v>
      </c>
      <c r="I104" s="113">
        <f t="shared" si="17"/>
        <v>156263</v>
      </c>
    </row>
    <row r="105" spans="1:9" ht="15.5" x14ac:dyDescent="0.35">
      <c r="A105" s="65">
        <v>45383</v>
      </c>
      <c r="B105" s="113">
        <f>Buyouts!E18+Buyouts!E48+Buyouts!E78+Buyouts!E108+Buyouts!E139+Buyouts!E169+Buyouts!E199+Buyouts!E229+Buyouts!E259+Buyouts!E289+Buyouts!E319+Buyouts!E349</f>
        <v>128623.73333333334</v>
      </c>
      <c r="C105" s="113">
        <f>Buyouts!F18+Buyouts!F48+Buyouts!F78+Buyouts!F108+Buyouts!F139+Buyouts!F169+Buyouts!F199+Buyouts!F229+Buyouts!F259+Buyouts!F289+Buyouts!F319+Buyouts!F349</f>
        <v>0</v>
      </c>
      <c r="D105" s="113">
        <f t="shared" si="14"/>
        <v>6236739.0733333323</v>
      </c>
      <c r="E105" s="113">
        <f t="shared" si="15"/>
        <v>6185582.54</v>
      </c>
      <c r="F105" s="113">
        <f>Buyouts!J18+Buyouts!J48+Buyouts!J78+Buyouts!J108+Buyouts!J139+Buyouts!J169+Buyouts!J199+Buyouts!J229+Buyouts!J259+Buyouts!J289+Buyouts!J319+Buyouts!J349</f>
        <v>8543.3333333333321</v>
      </c>
      <c r="G105" s="113">
        <f>Buyouts!K18+Buyouts!K48+Buyouts!K78+Buyouts!K108+Buyouts!K139+Buyouts!K169+Buyouts!K199+Buyouts!K229+Buyouts!K259+Buyouts!K289+Buyouts!K319+Buyouts!K349</f>
        <v>0</v>
      </c>
      <c r="H105" s="113">
        <f t="shared" si="16"/>
        <v>215313.33333333334</v>
      </c>
      <c r="I105" s="113">
        <f t="shared" si="17"/>
        <v>156263</v>
      </c>
    </row>
    <row r="106" spans="1:9" ht="15.5" x14ac:dyDescent="0.35">
      <c r="A106" s="65">
        <v>45474</v>
      </c>
      <c r="B106" s="113">
        <f>Buyouts!E19+Buyouts!E49+Buyouts!E79+Buyouts!E109+Buyouts!E140+Buyouts!E170+Buyouts!E200+Buyouts!E230+Buyouts!E260+Buyouts!E290+Buyouts!E320+Buyouts!E350</f>
        <v>128623.73333333334</v>
      </c>
      <c r="C106" s="113">
        <f>Buyouts!F19+Buyouts!F49+Buyouts!F79+Buyouts!F109+Buyouts!F140+Buyouts!F170+Buyouts!F200+Buyouts!F230+Buyouts!F260+Buyouts!F290+Buyouts!F320+Buyouts!F350</f>
        <v>0</v>
      </c>
      <c r="D106" s="113">
        <f t="shared" si="14"/>
        <v>6365362.8066666657</v>
      </c>
      <c r="E106" s="113">
        <f t="shared" si="15"/>
        <v>6185582.54</v>
      </c>
      <c r="F106" s="113">
        <f>Buyouts!J19+Buyouts!J49+Buyouts!J79+Buyouts!J109+Buyouts!J140+Buyouts!J170+Buyouts!J200+Buyouts!J230+Buyouts!J260+Buyouts!J290+Buyouts!J320+Buyouts!J350</f>
        <v>8543.3333333333321</v>
      </c>
      <c r="G106" s="113">
        <f>Buyouts!K19+Buyouts!K49+Buyouts!K79+Buyouts!K109+Buyouts!K140+Buyouts!K170+Buyouts!K200+Buyouts!K230+Buyouts!K260+Buyouts!K290+Buyouts!K320+Buyouts!K350</f>
        <v>0</v>
      </c>
      <c r="H106" s="113">
        <f t="shared" si="16"/>
        <v>223856.66666666669</v>
      </c>
      <c r="I106" s="113">
        <f t="shared" si="17"/>
        <v>156263</v>
      </c>
    </row>
    <row r="107" spans="1:9" ht="15.5" x14ac:dyDescent="0.35">
      <c r="A107" s="2">
        <v>45566</v>
      </c>
      <c r="B107" s="115">
        <f>Buyouts!E20+Buyouts!E50+Buyouts!E80+Buyouts!E110+Buyouts!E141+Buyouts!E171+Buyouts!E201+Buyouts!E231+Buyouts!E261+Buyouts!E291+Buyouts!E321+Buyouts!E351</f>
        <v>128623.73333333334</v>
      </c>
      <c r="C107" s="115">
        <f>Buyouts!F20+Buyouts!F50+Buyouts!F80+Buyouts!F110+Buyouts!F141+Buyouts!F171+Buyouts!F201+Buyouts!F231+Buyouts!F261+Buyouts!F291+Buyouts!F321+Buyouts!F351</f>
        <v>0</v>
      </c>
      <c r="D107" s="115">
        <f t="shared" si="14"/>
        <v>6493986.5399999991</v>
      </c>
      <c r="E107" s="115">
        <f t="shared" si="15"/>
        <v>6185582.54</v>
      </c>
      <c r="F107" s="115">
        <f>Buyouts!J20+Buyouts!J50+Buyouts!J80+Buyouts!J110+Buyouts!J141+Buyouts!J171+Buyouts!J201+Buyouts!J231+Buyouts!J261+Buyouts!J291+Buyouts!J321+Buyouts!J351</f>
        <v>8543.3333333333321</v>
      </c>
      <c r="G107" s="115">
        <f>Buyouts!K20+Buyouts!K50+Buyouts!K80+Buyouts!K110+Buyouts!K141+Buyouts!K171+Buyouts!K201+Buyouts!K231+Buyouts!K261+Buyouts!K291+Buyouts!K321+Buyouts!K351</f>
        <v>0</v>
      </c>
      <c r="H107" s="115">
        <f t="shared" si="16"/>
        <v>232400.00000000003</v>
      </c>
      <c r="I107" s="115">
        <f t="shared" si="17"/>
        <v>156263</v>
      </c>
    </row>
    <row r="108" spans="1:9" ht="15.5" x14ac:dyDescent="0.35">
      <c r="A108" s="2">
        <v>45658</v>
      </c>
      <c r="B108" s="115">
        <f>Buyouts!E21+Buyouts!E51+Buyouts!E81+Buyouts!E111+Buyouts!E142+Buyouts!E172+Buyouts!E202+Buyouts!E232+Buyouts!E262+Buyouts!E292+Buyouts!E322+Buyouts!E352</f>
        <v>0</v>
      </c>
      <c r="C108" s="115">
        <f>Buyouts!F21+Buyouts!F51+Buyouts!F81+Buyouts!F111+Buyouts!F142+Buyouts!F172+Buyouts!F202+Buyouts!F232+Buyouts!F262+Buyouts!F292+Buyouts!F322+Buyouts!F352</f>
        <v>0</v>
      </c>
      <c r="D108" s="115">
        <f t="shared" si="14"/>
        <v>6493986.5399999991</v>
      </c>
      <c r="E108" s="115">
        <f t="shared" si="15"/>
        <v>6185582.54</v>
      </c>
      <c r="F108" s="115">
        <f>Buyouts!J21+Buyouts!J51+Buyouts!J81+Buyouts!J111+Buyouts!J142+Buyouts!J172+Buyouts!J202+Buyouts!J232+Buyouts!J262+Buyouts!J292+Buyouts!J322+Buyouts!J352</f>
        <v>0</v>
      </c>
      <c r="G108" s="115">
        <f>Buyouts!K21+Buyouts!K51+Buyouts!K81+Buyouts!K111+Buyouts!K142+Buyouts!K172+Buyouts!K202+Buyouts!K232+Buyouts!K262+Buyouts!K292+Buyouts!K322+Buyouts!K352</f>
        <v>0</v>
      </c>
      <c r="H108" s="115">
        <f t="shared" si="16"/>
        <v>232400.00000000003</v>
      </c>
      <c r="I108" s="115">
        <f t="shared" si="17"/>
        <v>156263</v>
      </c>
    </row>
    <row r="109" spans="1:9" ht="15.5" x14ac:dyDescent="0.35">
      <c r="A109" s="2">
        <v>45748</v>
      </c>
      <c r="B109" s="115">
        <f>Buyouts!E22+Buyouts!E52+Buyouts!E82+Buyouts!E112+Buyouts!E143+Buyouts!E173+Buyouts!E203+Buyouts!E233+Buyouts!E263+Buyouts!E293+Buyouts!E323+Buyouts!E353</f>
        <v>0</v>
      </c>
      <c r="C109" s="115">
        <f>Buyouts!F22+Buyouts!F52+Buyouts!F82+Buyouts!F112+Buyouts!F143+Buyouts!F173+Buyouts!F203+Buyouts!F233+Buyouts!F263+Buyouts!F293+Buyouts!F323+Buyouts!F353</f>
        <v>0</v>
      </c>
      <c r="D109" s="115">
        <f t="shared" si="14"/>
        <v>6493986.5399999991</v>
      </c>
      <c r="E109" s="115">
        <f t="shared" si="15"/>
        <v>6185582.54</v>
      </c>
      <c r="F109" s="115">
        <f>Buyouts!J22+Buyouts!J52+Buyouts!J82+Buyouts!J112+Buyouts!J143+Buyouts!J173+Buyouts!J203+Buyouts!J233+Buyouts!J263+Buyouts!J293+Buyouts!J323+Buyouts!J353</f>
        <v>0</v>
      </c>
      <c r="G109" s="115">
        <f>Buyouts!K22+Buyouts!K52+Buyouts!K82+Buyouts!K112+Buyouts!K143+Buyouts!K173+Buyouts!K203+Buyouts!K233+Buyouts!K263+Buyouts!K293+Buyouts!K323+Buyouts!K353</f>
        <v>0</v>
      </c>
      <c r="H109" s="115">
        <f t="shared" si="16"/>
        <v>232400.00000000003</v>
      </c>
      <c r="I109" s="115">
        <f t="shared" si="17"/>
        <v>156263</v>
      </c>
    </row>
    <row r="110" spans="1:9" ht="15.5" x14ac:dyDescent="0.35">
      <c r="A110" s="2">
        <v>45839</v>
      </c>
      <c r="B110" s="115">
        <f>Buyouts!E23+Buyouts!E53+Buyouts!E83+Buyouts!E113+Buyouts!E144+Buyouts!E174+Buyouts!E204+Buyouts!E234+Buyouts!E264+Buyouts!E294+Buyouts!E324+Buyouts!E354</f>
        <v>0</v>
      </c>
      <c r="C110" s="115">
        <f>Buyouts!F23+Buyouts!F53+Buyouts!F83+Buyouts!F113+Buyouts!F144+Buyouts!F174+Buyouts!F204+Buyouts!F234+Buyouts!F264+Buyouts!F294+Buyouts!F324+Buyouts!F354</f>
        <v>0</v>
      </c>
      <c r="D110" s="115">
        <f t="shared" si="14"/>
        <v>6493986.5399999991</v>
      </c>
      <c r="E110" s="115">
        <f t="shared" si="15"/>
        <v>6185582.54</v>
      </c>
      <c r="F110" s="115">
        <f>Buyouts!J23+Buyouts!J53+Buyouts!J83+Buyouts!J113+Buyouts!J144+Buyouts!J174+Buyouts!J204+Buyouts!J234+Buyouts!J264+Buyouts!J294+Buyouts!J324+Buyouts!J354</f>
        <v>0</v>
      </c>
      <c r="G110" s="115">
        <f>Buyouts!K23+Buyouts!K53+Buyouts!K83+Buyouts!K113+Buyouts!K144+Buyouts!K174+Buyouts!K204+Buyouts!K234+Buyouts!K264+Buyouts!K294+Buyouts!K324+Buyouts!K354</f>
        <v>0</v>
      </c>
      <c r="H110" s="115">
        <f t="shared" si="16"/>
        <v>232400.00000000003</v>
      </c>
      <c r="I110" s="115">
        <f t="shared" si="17"/>
        <v>156263</v>
      </c>
    </row>
    <row r="111" spans="1:9" ht="15.5" x14ac:dyDescent="0.35">
      <c r="A111" s="2">
        <v>45931</v>
      </c>
      <c r="B111" s="115">
        <f>Buyouts!E24+Buyouts!E54+Buyouts!E84+Buyouts!E114+Buyouts!E145+Buyouts!E175+Buyouts!E205+Buyouts!E235+Buyouts!E265+Buyouts!E295+Buyouts!E325+Buyouts!E355</f>
        <v>0</v>
      </c>
      <c r="C111" s="115">
        <f>Buyouts!F24+Buyouts!F54+Buyouts!F84+Buyouts!F114+Buyouts!F145+Buyouts!F175+Buyouts!F205+Buyouts!F235+Buyouts!F265+Buyouts!F295+Buyouts!F325+Buyouts!F355</f>
        <v>0</v>
      </c>
      <c r="D111" s="115">
        <f t="shared" si="14"/>
        <v>6493986.5399999991</v>
      </c>
      <c r="E111" s="115">
        <f t="shared" si="15"/>
        <v>6185582.54</v>
      </c>
      <c r="F111" s="115">
        <f>Buyouts!J24+Buyouts!J54+Buyouts!J84+Buyouts!J114+Buyouts!J145+Buyouts!J175+Buyouts!J205+Buyouts!J235+Buyouts!J265+Buyouts!J295+Buyouts!J325+Buyouts!J355</f>
        <v>0</v>
      </c>
      <c r="G111" s="115">
        <f>Buyouts!K24+Buyouts!K54+Buyouts!K84+Buyouts!K114+Buyouts!K145+Buyouts!K175+Buyouts!K205+Buyouts!K235+Buyouts!K265+Buyouts!K295+Buyouts!K325+Buyouts!K355</f>
        <v>0</v>
      </c>
      <c r="H111" s="115">
        <f t="shared" si="16"/>
        <v>232400.00000000003</v>
      </c>
      <c r="I111" s="115">
        <f t="shared" si="17"/>
        <v>156263</v>
      </c>
    </row>
    <row r="112" spans="1:9" ht="15.5" x14ac:dyDescent="0.35">
      <c r="A112" s="2">
        <v>46023</v>
      </c>
      <c r="B112" s="115">
        <f>Buyouts!E25+Buyouts!E55+Buyouts!E85+Buyouts!E115+Buyouts!E146+Buyouts!E176+Buyouts!E206+Buyouts!E236+Buyouts!E266+Buyouts!E296+Buyouts!E326+Buyouts!E356</f>
        <v>0</v>
      </c>
      <c r="C112" s="115">
        <f>Buyouts!F25+Buyouts!F55+Buyouts!F85+Buyouts!F115+Buyouts!F146+Buyouts!F176+Buyouts!F206+Buyouts!F236+Buyouts!F266+Buyouts!F296+Buyouts!F326+Buyouts!F356</f>
        <v>0</v>
      </c>
      <c r="D112" s="115">
        <f t="shared" si="14"/>
        <v>6493986.5399999991</v>
      </c>
      <c r="E112" s="115">
        <f t="shared" si="15"/>
        <v>6185582.54</v>
      </c>
      <c r="F112" s="115">
        <f>Buyouts!J25+Buyouts!J55+Buyouts!J85+Buyouts!J115+Buyouts!J146+Buyouts!J176+Buyouts!J206+Buyouts!J236+Buyouts!J266+Buyouts!J296+Buyouts!J326+Buyouts!J356</f>
        <v>0</v>
      </c>
      <c r="G112" s="115">
        <f>Buyouts!K25+Buyouts!K55+Buyouts!K85+Buyouts!K115+Buyouts!K146+Buyouts!K176+Buyouts!K206+Buyouts!K236+Buyouts!K266+Buyouts!K296+Buyouts!K326+Buyouts!K356</f>
        <v>0</v>
      </c>
      <c r="H112" s="115">
        <f t="shared" si="16"/>
        <v>232400.00000000003</v>
      </c>
      <c r="I112" s="115">
        <f t="shared" si="17"/>
        <v>156263</v>
      </c>
    </row>
    <row r="113" spans="1:10" ht="15.5" x14ac:dyDescent="0.35">
      <c r="A113" s="2">
        <v>46113</v>
      </c>
      <c r="B113" s="115">
        <f>Buyouts!E26+Buyouts!E56+Buyouts!E86+Buyouts!E116+Buyouts!E147+Buyouts!E177+Buyouts!E207+Buyouts!E237+Buyouts!E267+Buyouts!E297+Buyouts!E327+Buyouts!E357</f>
        <v>0</v>
      </c>
      <c r="C113" s="115">
        <f>Buyouts!F26+Buyouts!F56+Buyouts!F86+Buyouts!F116+Buyouts!F147+Buyouts!F177+Buyouts!F207+Buyouts!F237+Buyouts!F267+Buyouts!F297+Buyouts!F327+Buyouts!F357</f>
        <v>0</v>
      </c>
      <c r="D113" s="115">
        <f t="shared" si="14"/>
        <v>6493986.5399999991</v>
      </c>
      <c r="E113" s="115">
        <f t="shared" si="15"/>
        <v>6185582.54</v>
      </c>
      <c r="F113" s="115">
        <f>Buyouts!J26+Buyouts!J56+Buyouts!J86+Buyouts!J116+Buyouts!J147+Buyouts!J177+Buyouts!J207+Buyouts!J237+Buyouts!J267+Buyouts!J297+Buyouts!J327+Buyouts!J357</f>
        <v>0</v>
      </c>
      <c r="G113" s="115">
        <f>Buyouts!K26+Buyouts!K56+Buyouts!K86+Buyouts!K116+Buyouts!K147+Buyouts!K177+Buyouts!K207+Buyouts!K237+Buyouts!K267+Buyouts!K297+Buyouts!K327+Buyouts!K357</f>
        <v>0</v>
      </c>
      <c r="H113" s="115">
        <f t="shared" si="16"/>
        <v>232400.00000000003</v>
      </c>
      <c r="I113" s="115">
        <f t="shared" si="17"/>
        <v>156263</v>
      </c>
    </row>
    <row r="114" spans="1:10" ht="15.5" x14ac:dyDescent="0.35">
      <c r="A114" s="2">
        <v>46204</v>
      </c>
      <c r="B114" s="115">
        <f>Buyouts!E27+Buyouts!E57+Buyouts!E87+Buyouts!E117+Buyouts!E148+Buyouts!E178+Buyouts!E208+Buyouts!E238+Buyouts!E268+Buyouts!E298+Buyouts!E328+Buyouts!E358</f>
        <v>0</v>
      </c>
      <c r="C114" s="115">
        <f>Buyouts!F27+Buyouts!F57+Buyouts!F87+Buyouts!F117+Buyouts!F148+Buyouts!F178+Buyouts!F208+Buyouts!F238+Buyouts!F268+Buyouts!F298+Buyouts!F328+Buyouts!F358</f>
        <v>0</v>
      </c>
      <c r="D114" s="115">
        <f t="shared" si="14"/>
        <v>6493986.5399999991</v>
      </c>
      <c r="E114" s="115">
        <f t="shared" si="15"/>
        <v>6185582.54</v>
      </c>
      <c r="F114" s="115">
        <f>Buyouts!J27+Buyouts!J57+Buyouts!J87+Buyouts!J117+Buyouts!J148+Buyouts!J178+Buyouts!J208+Buyouts!J238+Buyouts!J268+Buyouts!J298+Buyouts!J328+Buyouts!J358</f>
        <v>0</v>
      </c>
      <c r="G114" s="115">
        <f>Buyouts!K27+Buyouts!K57+Buyouts!K87+Buyouts!K117+Buyouts!K148+Buyouts!K178+Buyouts!K208+Buyouts!K238+Buyouts!K268+Buyouts!K298+Buyouts!K328+Buyouts!K358</f>
        <v>0</v>
      </c>
      <c r="H114" s="115">
        <f t="shared" si="16"/>
        <v>232400.00000000003</v>
      </c>
      <c r="I114" s="115">
        <f t="shared" si="17"/>
        <v>156263</v>
      </c>
      <c r="J114" s="33"/>
    </row>
    <row r="115" spans="1:10" x14ac:dyDescent="0.35">
      <c r="A115" s="63" t="s">
        <v>13</v>
      </c>
      <c r="B115" s="117">
        <f>SUM(B91:B114)</f>
        <v>6493986.5399999991</v>
      </c>
      <c r="C115" s="117">
        <f>SUM(C91:C114)</f>
        <v>6185582.54</v>
      </c>
      <c r="D115" s="117">
        <f>D114</f>
        <v>6493986.5399999991</v>
      </c>
      <c r="E115" s="117">
        <f>E114</f>
        <v>6185582.54</v>
      </c>
      <c r="F115" s="117">
        <f t="shared" ref="F115:G115" si="18">SUM(F91:F114)</f>
        <v>232400.00000000003</v>
      </c>
      <c r="G115" s="117">
        <f t="shared" si="18"/>
        <v>156263</v>
      </c>
      <c r="H115" s="117">
        <f>H114</f>
        <v>232400.00000000003</v>
      </c>
      <c r="I115" s="117">
        <f>I114</f>
        <v>156263</v>
      </c>
      <c r="J115" s="29"/>
    </row>
    <row r="116" spans="1:10" x14ac:dyDescent="0.35">
      <c r="A116" s="63" t="s">
        <v>107</v>
      </c>
      <c r="B116" s="121">
        <f>D115+F115</f>
        <v>6726386.5399999991</v>
      </c>
      <c r="C116" s="29"/>
      <c r="D116" s="29"/>
      <c r="E116" s="29"/>
      <c r="F116" s="29"/>
      <c r="G116" s="29"/>
      <c r="H116" s="29"/>
      <c r="I116" s="29"/>
      <c r="J116" s="29"/>
    </row>
    <row r="117" spans="1:10" x14ac:dyDescent="0.35">
      <c r="A117" s="63" t="s">
        <v>108</v>
      </c>
      <c r="B117" s="121">
        <f>E115+I115</f>
        <v>6341845.54</v>
      </c>
      <c r="C117" s="29"/>
      <c r="D117" s="29"/>
      <c r="E117" s="29"/>
      <c r="F117" s="29"/>
      <c r="G117" s="29"/>
      <c r="H117" s="29"/>
      <c r="I117" s="29"/>
      <c r="J117" s="29"/>
    </row>
    <row r="120" spans="1:10" ht="29" x14ac:dyDescent="0.35">
      <c r="A120" s="62" t="s">
        <v>60</v>
      </c>
      <c r="B120" s="55" t="s">
        <v>28</v>
      </c>
      <c r="C120" s="56" t="s">
        <v>32</v>
      </c>
      <c r="D120" s="56" t="s">
        <v>29</v>
      </c>
      <c r="E120" s="56" t="s">
        <v>33</v>
      </c>
      <c r="F120" s="55" t="s">
        <v>35</v>
      </c>
      <c r="G120" s="56" t="s">
        <v>34</v>
      </c>
      <c r="H120" s="56" t="s">
        <v>36</v>
      </c>
      <c r="I120" s="56" t="s">
        <v>37</v>
      </c>
      <c r="J120" s="126"/>
    </row>
    <row r="121" spans="1:10" ht="15.5" x14ac:dyDescent="0.35">
      <c r="A121" s="65">
        <v>44105</v>
      </c>
      <c r="B121" s="113">
        <f>'Stormwater Infrastructure'!E4+'Stormwater Infrastructure'!E34+'Stormwater Infrastructure'!E64+'Stormwater Infrastructure'!E94</f>
        <v>0</v>
      </c>
      <c r="C121" s="113">
        <f>'Stormwater Infrastructure'!F4+'Stormwater Infrastructure'!F34+'Stormwater Infrastructure'!F64+'Stormwater Infrastructure'!F94</f>
        <v>0</v>
      </c>
      <c r="D121" s="113">
        <f>B121</f>
        <v>0</v>
      </c>
      <c r="E121" s="113">
        <f>C121</f>
        <v>0</v>
      </c>
      <c r="F121" s="113">
        <f>'Stormwater Infrastructure'!J4+'Stormwater Infrastructure'!J34+'Stormwater Infrastructure'!J64+'Stormwater Infrastructure'!J94</f>
        <v>0</v>
      </c>
      <c r="G121" s="113">
        <f>'Stormwater Infrastructure'!K4+'Stormwater Infrastructure'!K34+'Stormwater Infrastructure'!K64+'Stormwater Infrastructure'!K94</f>
        <v>0</v>
      </c>
      <c r="H121" s="113">
        <f>F121</f>
        <v>0</v>
      </c>
      <c r="I121" s="113">
        <f>G121</f>
        <v>0</v>
      </c>
    </row>
    <row r="122" spans="1:10" ht="15.5" x14ac:dyDescent="0.35">
      <c r="A122" s="65">
        <v>44197</v>
      </c>
      <c r="B122" s="113">
        <f>'Stormwater Infrastructure'!E5+'Stormwater Infrastructure'!E35+'Stormwater Infrastructure'!E65+'Stormwater Infrastructure'!E95</f>
        <v>0</v>
      </c>
      <c r="C122" s="113">
        <f>'Stormwater Infrastructure'!F5+'Stormwater Infrastructure'!F35+'Stormwater Infrastructure'!F65+'Stormwater Infrastructure'!F95</f>
        <v>0</v>
      </c>
      <c r="D122" s="113">
        <f>D121+B122</f>
        <v>0</v>
      </c>
      <c r="E122" s="113">
        <f>E121+C122</f>
        <v>0</v>
      </c>
      <c r="F122" s="113">
        <f>'Stormwater Infrastructure'!J5+'Stormwater Infrastructure'!J35+'Stormwater Infrastructure'!J65+'Stormwater Infrastructure'!J95</f>
        <v>0</v>
      </c>
      <c r="G122" s="113">
        <f>'Stormwater Infrastructure'!K5+'Stormwater Infrastructure'!K35+'Stormwater Infrastructure'!K65+'Stormwater Infrastructure'!K95</f>
        <v>0</v>
      </c>
      <c r="H122" s="113">
        <f>H121+F122</f>
        <v>0</v>
      </c>
      <c r="I122" s="113">
        <f>I121+G122</f>
        <v>0</v>
      </c>
    </row>
    <row r="123" spans="1:10" ht="15.5" x14ac:dyDescent="0.35">
      <c r="A123" s="65">
        <v>44287</v>
      </c>
      <c r="B123" s="113">
        <f>'Stormwater Infrastructure'!E6+'Stormwater Infrastructure'!E36+'Stormwater Infrastructure'!E66+'Stormwater Infrastructure'!E96</f>
        <v>181170.375</v>
      </c>
      <c r="C123" s="113">
        <f>'Stormwater Infrastructure'!F6+'Stormwater Infrastructure'!F36+'Stormwater Infrastructure'!F66+'Stormwater Infrastructure'!F96</f>
        <v>0</v>
      </c>
      <c r="D123" s="113">
        <f t="shared" ref="D123:D144" si="19">D122+B123</f>
        <v>181170.375</v>
      </c>
      <c r="E123" s="113">
        <f t="shared" ref="E123:E144" si="20">E122+C123</f>
        <v>0</v>
      </c>
      <c r="F123" s="113">
        <f>'Stormwater Infrastructure'!J6+'Stormwater Infrastructure'!J36+'Stormwater Infrastructure'!J66+'Stormwater Infrastructure'!J96</f>
        <v>5625</v>
      </c>
      <c r="G123" s="113">
        <f>'Stormwater Infrastructure'!K6+'Stormwater Infrastructure'!K36+'Stormwater Infrastructure'!K66+'Stormwater Infrastructure'!K96</f>
        <v>0</v>
      </c>
      <c r="H123" s="113">
        <f t="shared" ref="H123:H144" si="21">H122+F123</f>
        <v>5625</v>
      </c>
      <c r="I123" s="113">
        <f t="shared" ref="I123:I144" si="22">I122+G123</f>
        <v>0</v>
      </c>
    </row>
    <row r="124" spans="1:10" ht="15.5" x14ac:dyDescent="0.35">
      <c r="A124" s="65">
        <v>44378</v>
      </c>
      <c r="B124" s="113">
        <f>'Stormwater Infrastructure'!E7+'Stormwater Infrastructure'!E37+'Stormwater Infrastructure'!E67+'Stormwater Infrastructure'!E97</f>
        <v>181170.375</v>
      </c>
      <c r="C124" s="113">
        <f>'Stormwater Infrastructure'!F7+'Stormwater Infrastructure'!F37+'Stormwater Infrastructure'!F67+'Stormwater Infrastructure'!F97</f>
        <v>44778</v>
      </c>
      <c r="D124" s="113">
        <f t="shared" si="19"/>
        <v>362340.75</v>
      </c>
      <c r="E124" s="113">
        <f t="shared" si="20"/>
        <v>44778</v>
      </c>
      <c r="F124" s="113">
        <f>'Stormwater Infrastructure'!J7+'Stormwater Infrastructure'!J37+'Stormwater Infrastructure'!J67+'Stormwater Infrastructure'!J97</f>
        <v>5625</v>
      </c>
      <c r="G124" s="113">
        <f>'Stormwater Infrastructure'!K7+'Stormwater Infrastructure'!K37+'Stormwater Infrastructure'!K67+'Stormwater Infrastructure'!K97</f>
        <v>0</v>
      </c>
      <c r="H124" s="113">
        <f t="shared" si="21"/>
        <v>11250</v>
      </c>
      <c r="I124" s="113">
        <f t="shared" si="22"/>
        <v>0</v>
      </c>
    </row>
    <row r="125" spans="1:10" ht="15.5" x14ac:dyDescent="0.35">
      <c r="A125" s="65">
        <v>44470</v>
      </c>
      <c r="B125" s="113">
        <f>'Stormwater Infrastructure'!E8+'Stormwater Infrastructure'!E38+'Stormwater Infrastructure'!E68+'Stormwater Infrastructure'!E98</f>
        <v>181170.375</v>
      </c>
      <c r="C125" s="113">
        <f>'Stormwater Infrastructure'!F8+'Stormwater Infrastructure'!F38+'Stormwater Infrastructure'!F68+'Stormwater Infrastructure'!F98</f>
        <v>145927</v>
      </c>
      <c r="D125" s="113">
        <f t="shared" si="19"/>
        <v>543511.125</v>
      </c>
      <c r="E125" s="113">
        <f t="shared" si="20"/>
        <v>190705</v>
      </c>
      <c r="F125" s="113">
        <f>'Stormwater Infrastructure'!J8+'Stormwater Infrastructure'!J38+'Stormwater Infrastructure'!J68+'Stormwater Infrastructure'!J98</f>
        <v>5625</v>
      </c>
      <c r="G125" s="113">
        <f>'Stormwater Infrastructure'!K8+'Stormwater Infrastructure'!K38+'Stormwater Infrastructure'!K68+'Stormwater Infrastructure'!K98</f>
        <v>5000</v>
      </c>
      <c r="H125" s="113">
        <f t="shared" si="21"/>
        <v>16875</v>
      </c>
      <c r="I125" s="113">
        <f t="shared" si="22"/>
        <v>5000</v>
      </c>
    </row>
    <row r="126" spans="1:10" ht="15.5" x14ac:dyDescent="0.35">
      <c r="A126" s="65">
        <v>44562</v>
      </c>
      <c r="B126" s="113">
        <f>'Stormwater Infrastructure'!E9+'Stormwater Infrastructure'!E39+'Stormwater Infrastructure'!E69+'Stormwater Infrastructure'!E99</f>
        <v>347700.17499999999</v>
      </c>
      <c r="C126" s="113">
        <f>'Stormwater Infrastructure'!F9+'Stormwater Infrastructure'!F39+'Stormwater Infrastructure'!F69+'Stormwater Infrastructure'!F99</f>
        <v>558264</v>
      </c>
      <c r="D126" s="113">
        <f t="shared" si="19"/>
        <v>891211.3</v>
      </c>
      <c r="E126" s="113">
        <f t="shared" si="20"/>
        <v>748969</v>
      </c>
      <c r="F126" s="113">
        <f>'Stormwater Infrastructure'!J9+'Stormwater Infrastructure'!J39+'Stormwater Infrastructure'!J69+'Stormwater Infrastructure'!J99</f>
        <v>7125</v>
      </c>
      <c r="G126" s="113">
        <f>'Stormwater Infrastructure'!K9+'Stormwater Infrastructure'!K39+'Stormwater Infrastructure'!K69+'Stormwater Infrastructure'!K99</f>
        <v>20000</v>
      </c>
      <c r="H126" s="113">
        <f t="shared" si="21"/>
        <v>24000</v>
      </c>
      <c r="I126" s="113">
        <f t="shared" si="22"/>
        <v>25000</v>
      </c>
    </row>
    <row r="127" spans="1:10" ht="15.5" x14ac:dyDescent="0.35">
      <c r="A127" s="65">
        <v>44652</v>
      </c>
      <c r="B127" s="113">
        <f>'Stormwater Infrastructure'!E10+'Stormwater Infrastructure'!E40+'Stormwater Infrastructure'!E70+'Stormwater Infrastructure'!E100</f>
        <v>233083.42499999999</v>
      </c>
      <c r="C127" s="113">
        <f>'Stormwater Infrastructure'!F10+'Stormwater Infrastructure'!F40+'Stormwater Infrastructure'!F70+'Stormwater Infrastructure'!F100</f>
        <v>180660</v>
      </c>
      <c r="D127" s="113">
        <f t="shared" si="19"/>
        <v>1124294.7250000001</v>
      </c>
      <c r="E127" s="113">
        <f t="shared" si="20"/>
        <v>929629</v>
      </c>
      <c r="F127" s="113">
        <f>'Stormwater Infrastructure'!J10+'Stormwater Infrastructure'!J40+'Stormwater Infrastructure'!J70+'Stormwater Infrastructure'!J100</f>
        <v>3375</v>
      </c>
      <c r="G127" s="113">
        <f>'Stormwater Infrastructure'!K10+'Stormwater Infrastructure'!K40+'Stormwater Infrastructure'!K70+'Stormwater Infrastructure'!K100</f>
        <v>5000</v>
      </c>
      <c r="H127" s="113">
        <f t="shared" si="21"/>
        <v>27375</v>
      </c>
      <c r="I127" s="113">
        <f t="shared" si="22"/>
        <v>30000</v>
      </c>
    </row>
    <row r="128" spans="1:10" ht="15.5" x14ac:dyDescent="0.35">
      <c r="A128" s="65">
        <v>44743</v>
      </c>
      <c r="B128" s="113">
        <f>'Stormwater Infrastructure'!E11+'Stormwater Infrastructure'!E41+'Stormwater Infrastructure'!E71+'Stormwater Infrastructure'!E101</f>
        <v>233083.42499999999</v>
      </c>
      <c r="C128" s="113">
        <f>'Stormwater Infrastructure'!F11+'Stormwater Infrastructure'!F41+'Stormwater Infrastructure'!F71+'Stormwater Infrastructure'!F101</f>
        <v>117327</v>
      </c>
      <c r="D128" s="113">
        <f t="shared" si="19"/>
        <v>1357378.1500000001</v>
      </c>
      <c r="E128" s="113">
        <f t="shared" si="20"/>
        <v>1046956</v>
      </c>
      <c r="F128" s="113">
        <f>'Stormwater Infrastructure'!J11+'Stormwater Infrastructure'!J41+'Stormwater Infrastructure'!J71+'Stormwater Infrastructure'!J101</f>
        <v>3375</v>
      </c>
      <c r="G128" s="113">
        <f>'Stormwater Infrastructure'!K11+'Stormwater Infrastructure'!K41+'Stormwater Infrastructure'!K71+'Stormwater Infrastructure'!K101</f>
        <v>5000</v>
      </c>
      <c r="H128" s="113">
        <f t="shared" si="21"/>
        <v>30750</v>
      </c>
      <c r="I128" s="113">
        <f t="shared" si="22"/>
        <v>35000</v>
      </c>
    </row>
    <row r="129" spans="1:9" ht="15.5" x14ac:dyDescent="0.35">
      <c r="A129" s="65">
        <v>44835</v>
      </c>
      <c r="B129" s="113">
        <f>'Stormwater Infrastructure'!E12+'Stormwater Infrastructure'!E42+'Stormwater Infrastructure'!E72+'Stormwater Infrastructure'!E102</f>
        <v>233083.42499999999</v>
      </c>
      <c r="C129" s="113">
        <f>'Stormwater Infrastructure'!F12+'Stormwater Infrastructure'!F42+'Stormwater Infrastructure'!F72+'Stormwater Infrastructure'!F102</f>
        <v>0</v>
      </c>
      <c r="D129" s="113">
        <f t="shared" si="19"/>
        <v>1590461.5750000002</v>
      </c>
      <c r="E129" s="113">
        <f t="shared" si="20"/>
        <v>1046956</v>
      </c>
      <c r="F129" s="113">
        <f>'Stormwater Infrastructure'!J12+'Stormwater Infrastructure'!J42+'Stormwater Infrastructure'!J72+'Stormwater Infrastructure'!J102</f>
        <v>3375</v>
      </c>
      <c r="G129" s="113">
        <f>'Stormwater Infrastructure'!K12+'Stormwater Infrastructure'!K42+'Stormwater Infrastructure'!K72+'Stormwater Infrastructure'!K102</f>
        <v>0</v>
      </c>
      <c r="H129" s="113">
        <f t="shared" si="21"/>
        <v>34125</v>
      </c>
      <c r="I129" s="113">
        <f t="shared" si="22"/>
        <v>35000</v>
      </c>
    </row>
    <row r="130" spans="1:9" ht="15.5" x14ac:dyDescent="0.35">
      <c r="A130" s="65">
        <v>44927</v>
      </c>
      <c r="B130" s="113">
        <f>'Stormwater Infrastructure'!E13+'Stormwater Infrastructure'!E43+'Stormwater Infrastructure'!E73+'Stormwater Infrastructure'!E103</f>
        <v>233083.42499999999</v>
      </c>
      <c r="C130" s="113">
        <f>'Stormwater Infrastructure'!F13+'Stormwater Infrastructure'!F43+'Stormwater Infrastructure'!F73+'Stormwater Infrastructure'!F103</f>
        <v>0</v>
      </c>
      <c r="D130" s="113">
        <f t="shared" si="19"/>
        <v>1823545.0000000002</v>
      </c>
      <c r="E130" s="113">
        <f t="shared" si="20"/>
        <v>1046956</v>
      </c>
      <c r="F130" s="113">
        <f>'Stormwater Infrastructure'!J13+'Stormwater Infrastructure'!J43+'Stormwater Infrastructure'!J73+'Stormwater Infrastructure'!J103</f>
        <v>3375</v>
      </c>
      <c r="G130" s="113">
        <f>'Stormwater Infrastructure'!K13+'Stormwater Infrastructure'!K43+'Stormwater Infrastructure'!K73+'Stormwater Infrastructure'!K103</f>
        <v>0</v>
      </c>
      <c r="H130" s="113">
        <f t="shared" si="21"/>
        <v>37500</v>
      </c>
      <c r="I130" s="113">
        <f t="shared" si="22"/>
        <v>35000</v>
      </c>
    </row>
    <row r="131" spans="1:9" ht="15.5" x14ac:dyDescent="0.35">
      <c r="A131" s="65">
        <v>45017</v>
      </c>
      <c r="B131" s="113">
        <f>'Stormwater Infrastructure'!E14+'Stormwater Infrastructure'!E44+'Stormwater Infrastructure'!E74+'Stormwater Infrastructure'!E104</f>
        <v>166529.79999999999</v>
      </c>
      <c r="C131" s="113">
        <f>'Stormwater Infrastructure'!F14+'Stormwater Infrastructure'!F44+'Stormwater Infrastructure'!F74+'Stormwater Infrastructure'!F104</f>
        <v>0</v>
      </c>
      <c r="D131" s="113">
        <f t="shared" si="19"/>
        <v>1990074.8000000003</v>
      </c>
      <c r="E131" s="113">
        <f t="shared" si="20"/>
        <v>1046956</v>
      </c>
      <c r="F131" s="113">
        <f>'Stormwater Infrastructure'!J14+'Stormwater Infrastructure'!J44+'Stormwater Infrastructure'!J74+'Stormwater Infrastructure'!J104</f>
        <v>1500</v>
      </c>
      <c r="G131" s="113">
        <f>'Stormwater Infrastructure'!K14+'Stormwater Infrastructure'!K44+'Stormwater Infrastructure'!K74+'Stormwater Infrastructure'!K104</f>
        <v>0</v>
      </c>
      <c r="H131" s="113">
        <f t="shared" si="21"/>
        <v>39000</v>
      </c>
      <c r="I131" s="113">
        <f t="shared" si="22"/>
        <v>35000</v>
      </c>
    </row>
    <row r="132" spans="1:9" ht="15.5" x14ac:dyDescent="0.35">
      <c r="A132" s="65">
        <v>45108</v>
      </c>
      <c r="B132" s="113">
        <f>'Stormwater Infrastructure'!E15+'Stormwater Infrastructure'!E45+'Stormwater Infrastructure'!E75+'Stormwater Infrastructure'!E105</f>
        <v>166529.79999999999</v>
      </c>
      <c r="C132" s="113">
        <f>'Stormwater Infrastructure'!F15+'Stormwater Infrastructure'!F45+'Stormwater Infrastructure'!F75+'Stormwater Infrastructure'!F105</f>
        <v>648264.11</v>
      </c>
      <c r="D132" s="113">
        <f t="shared" si="19"/>
        <v>2156604.6</v>
      </c>
      <c r="E132" s="113">
        <f t="shared" si="20"/>
        <v>1695220.1099999999</v>
      </c>
      <c r="F132" s="113">
        <f>'Stormwater Infrastructure'!J15+'Stormwater Infrastructure'!J45+'Stormwater Infrastructure'!J75+'Stormwater Infrastructure'!J105</f>
        <v>1500</v>
      </c>
      <c r="G132" s="113">
        <f>'Stormwater Infrastructure'!K15+'Stormwater Infrastructure'!K45+'Stormwater Infrastructure'!K75+'Stormwater Infrastructure'!K105</f>
        <v>1711.5</v>
      </c>
      <c r="H132" s="113">
        <f t="shared" si="21"/>
        <v>40500</v>
      </c>
      <c r="I132" s="113">
        <f t="shared" si="22"/>
        <v>36711.5</v>
      </c>
    </row>
    <row r="133" spans="1:9" ht="15.5" x14ac:dyDescent="0.35">
      <c r="A133" s="65">
        <v>45200</v>
      </c>
      <c r="B133" s="113">
        <f>'Stormwater Infrastructure'!E16+'Stormwater Infrastructure'!E46+'Stormwater Infrastructure'!E76+'Stormwater Infrastructure'!E106</f>
        <v>197085.35555555555</v>
      </c>
      <c r="C133" s="113">
        <f>'Stormwater Infrastructure'!F16+'Stormwater Infrastructure'!F46+'Stormwater Infrastructure'!F76+'Stormwater Infrastructure'!F106</f>
        <v>764181.54</v>
      </c>
      <c r="D133" s="113">
        <f t="shared" si="19"/>
        <v>2353689.9555555554</v>
      </c>
      <c r="E133" s="113">
        <f t="shared" si="20"/>
        <v>2459401.65</v>
      </c>
      <c r="F133" s="113">
        <f>'Stormwater Infrastructure'!J16+'Stormwater Infrastructure'!J46+'Stormwater Infrastructure'!J76+'Stormwater Infrastructure'!J106</f>
        <v>4277.7777777777774</v>
      </c>
      <c r="G133" s="113">
        <f>'Stormwater Infrastructure'!K16+'Stormwater Infrastructure'!K46+'Stormwater Infrastructure'!K76+'Stormwater Infrastructure'!K106</f>
        <v>5024.3100000000004</v>
      </c>
      <c r="H133" s="113">
        <f t="shared" si="21"/>
        <v>44777.777777777781</v>
      </c>
      <c r="I133" s="113">
        <f t="shared" si="22"/>
        <v>41735.81</v>
      </c>
    </row>
    <row r="134" spans="1:9" ht="15.5" x14ac:dyDescent="0.35">
      <c r="A134" s="65">
        <v>45292</v>
      </c>
      <c r="B134" s="113">
        <f>'Stormwater Infrastructure'!E17+'Stormwater Infrastructure'!E47+'Stormwater Infrastructure'!E77+'Stormwater Infrastructure'!E107</f>
        <v>197085.35555555555</v>
      </c>
      <c r="C134" s="113">
        <f>'Stormwater Infrastructure'!F17+'Stormwater Infrastructure'!F47+'Stormwater Infrastructure'!F77+'Stormwater Infrastructure'!F107</f>
        <v>30262.55</v>
      </c>
      <c r="D134" s="113">
        <f t="shared" si="19"/>
        <v>2550775.3111111112</v>
      </c>
      <c r="E134" s="113">
        <f t="shared" si="20"/>
        <v>2489664.1999999997</v>
      </c>
      <c r="F134" s="113">
        <f>'Stormwater Infrastructure'!J17+'Stormwater Infrastructure'!J47+'Stormwater Infrastructure'!J77+'Stormwater Infrastructure'!J107</f>
        <v>4277.7777777777774</v>
      </c>
      <c r="G134" s="113">
        <f>'Stormwater Infrastructure'!K17+'Stormwater Infrastructure'!K47+'Stormwater Infrastructure'!K77+'Stormwater Infrastructure'!K107</f>
        <v>23.81</v>
      </c>
      <c r="H134" s="113">
        <f t="shared" si="21"/>
        <v>49055.555555555562</v>
      </c>
      <c r="I134" s="113">
        <f t="shared" si="22"/>
        <v>41759.619999999995</v>
      </c>
    </row>
    <row r="135" spans="1:9" ht="15.5" x14ac:dyDescent="0.35">
      <c r="A135" s="65">
        <v>45383</v>
      </c>
      <c r="B135" s="113">
        <f>'Stormwater Infrastructure'!E18+'Stormwater Infrastructure'!E48+'Stormwater Infrastructure'!E78+'Stormwater Infrastructure'!E108</f>
        <v>197085.35555555555</v>
      </c>
      <c r="C135" s="113">
        <f>'Stormwater Infrastructure'!F18+'Stormwater Infrastructure'!F48+'Stormwater Infrastructure'!F78+'Stormwater Infrastructure'!F108</f>
        <v>166529.79999999999</v>
      </c>
      <c r="D135" s="113">
        <f t="shared" si="19"/>
        <v>2747860.666666667</v>
      </c>
      <c r="E135" s="113">
        <f t="shared" si="20"/>
        <v>2656193.9999999995</v>
      </c>
      <c r="F135" s="113">
        <f>'Stormwater Infrastructure'!J18+'Stormwater Infrastructure'!J48+'Stormwater Infrastructure'!J78+'Stormwater Infrastructure'!J108</f>
        <v>4277.7777777777774</v>
      </c>
      <c r="G135" s="113">
        <f>'Stormwater Infrastructure'!K18+'Stormwater Infrastructure'!K48+'Stormwater Infrastructure'!K78+'Stormwater Infrastructure'!K108</f>
        <v>3240.38</v>
      </c>
      <c r="H135" s="113">
        <f t="shared" si="21"/>
        <v>53333.333333333343</v>
      </c>
      <c r="I135" s="113">
        <f t="shared" si="22"/>
        <v>44999.999999999993</v>
      </c>
    </row>
    <row r="136" spans="1:9" ht="15.5" x14ac:dyDescent="0.35">
      <c r="A136" s="65">
        <v>45474</v>
      </c>
      <c r="B136" s="113">
        <f>'Stormwater Infrastructure'!E19+'Stormwater Infrastructure'!E49+'Stormwater Infrastructure'!E79+'Stormwater Infrastructure'!E109</f>
        <v>30555.555555555555</v>
      </c>
      <c r="C136" s="113">
        <f>'Stormwater Infrastructure'!F19+'Stormwater Infrastructure'!F49+'Stormwater Infrastructure'!F79+'Stormwater Infrastructure'!F109</f>
        <v>100219.37</v>
      </c>
      <c r="D136" s="113">
        <f t="shared" si="19"/>
        <v>2778416.2222222225</v>
      </c>
      <c r="E136" s="113">
        <f t="shared" si="20"/>
        <v>2756413.3699999996</v>
      </c>
      <c r="F136" s="113">
        <f>'Stormwater Infrastructure'!J19+'Stormwater Infrastructure'!J49+'Stormwater Infrastructure'!J79+'Stormwater Infrastructure'!J109</f>
        <v>2777.7777777777778</v>
      </c>
      <c r="G136" s="113">
        <f>'Stormwater Infrastructure'!K19+'Stormwater Infrastructure'!K49+'Stormwater Infrastructure'!K79+'Stormwater Infrastructure'!K109</f>
        <v>2000</v>
      </c>
      <c r="H136" s="113">
        <f t="shared" si="21"/>
        <v>56111.111111111124</v>
      </c>
      <c r="I136" s="113">
        <f t="shared" si="22"/>
        <v>46999.999999999993</v>
      </c>
    </row>
    <row r="137" spans="1:9" ht="15.5" x14ac:dyDescent="0.35">
      <c r="A137" s="2">
        <v>45566</v>
      </c>
      <c r="B137" s="115">
        <f>'Stormwater Infrastructure'!E20+'Stormwater Infrastructure'!E50+'Stormwater Infrastructure'!E80+'Stormwater Infrastructure'!E110</f>
        <v>30555.555555555555</v>
      </c>
      <c r="C137" s="115">
        <f>'Stormwater Infrastructure'!F20+'Stormwater Infrastructure'!F50+'Stormwater Infrastructure'!F80+'Stormwater Infrastructure'!F110</f>
        <v>0</v>
      </c>
      <c r="D137" s="115">
        <f t="shared" si="19"/>
        <v>2808971.777777778</v>
      </c>
      <c r="E137" s="115">
        <f t="shared" si="20"/>
        <v>2756413.3699999996</v>
      </c>
      <c r="F137" s="115">
        <f>'Stormwater Infrastructure'!J20+'Stormwater Infrastructure'!J50+'Stormwater Infrastructure'!J80+'Stormwater Infrastructure'!J110</f>
        <v>2777.7777777777778</v>
      </c>
      <c r="G137" s="115">
        <f>'Stormwater Infrastructure'!K20+'Stormwater Infrastructure'!K50+'Stormwater Infrastructure'!K80+'Stormwater Infrastructure'!K110</f>
        <v>0</v>
      </c>
      <c r="H137" s="115">
        <f t="shared" si="21"/>
        <v>58888.888888888905</v>
      </c>
      <c r="I137" s="115">
        <f t="shared" si="22"/>
        <v>46999.999999999993</v>
      </c>
    </row>
    <row r="138" spans="1:9" ht="15.5" x14ac:dyDescent="0.35">
      <c r="A138" s="2">
        <v>45658</v>
      </c>
      <c r="B138" s="115">
        <f>'Stormwater Infrastructure'!E21+'Stormwater Infrastructure'!E51+'Stormwater Infrastructure'!E81+'Stormwater Infrastructure'!E111</f>
        <v>30555.555555555555</v>
      </c>
      <c r="C138" s="115">
        <f>'Stormwater Infrastructure'!F21+'Stormwater Infrastructure'!F51+'Stormwater Infrastructure'!F81+'Stormwater Infrastructure'!F111</f>
        <v>0</v>
      </c>
      <c r="D138" s="115">
        <f t="shared" si="19"/>
        <v>2839527.3333333335</v>
      </c>
      <c r="E138" s="115">
        <f t="shared" si="20"/>
        <v>2756413.3699999996</v>
      </c>
      <c r="F138" s="115">
        <f>'Stormwater Infrastructure'!J21+'Stormwater Infrastructure'!J51+'Stormwater Infrastructure'!J81+'Stormwater Infrastructure'!J111</f>
        <v>2777.7777777777778</v>
      </c>
      <c r="G138" s="115">
        <f>'Stormwater Infrastructure'!K21+'Stormwater Infrastructure'!K51+'Stormwater Infrastructure'!K81+'Stormwater Infrastructure'!K111</f>
        <v>0</v>
      </c>
      <c r="H138" s="115">
        <f t="shared" si="21"/>
        <v>61666.666666666686</v>
      </c>
      <c r="I138" s="115">
        <f t="shared" si="22"/>
        <v>46999.999999999993</v>
      </c>
    </row>
    <row r="139" spans="1:9" ht="15.5" x14ac:dyDescent="0.35">
      <c r="A139" s="2">
        <v>45748</v>
      </c>
      <c r="B139" s="115">
        <f>'Stormwater Infrastructure'!E22+'Stormwater Infrastructure'!E52+'Stormwater Infrastructure'!E82+'Stormwater Infrastructure'!E112</f>
        <v>30555.555555555555</v>
      </c>
      <c r="C139" s="115">
        <f>'Stormwater Infrastructure'!F22+'Stormwater Infrastructure'!F52+'Stormwater Infrastructure'!F82+'Stormwater Infrastructure'!F112</f>
        <v>0</v>
      </c>
      <c r="D139" s="115">
        <f t="shared" si="19"/>
        <v>2870082.888888889</v>
      </c>
      <c r="E139" s="115">
        <f t="shared" si="20"/>
        <v>2756413.3699999996</v>
      </c>
      <c r="F139" s="115">
        <f>'Stormwater Infrastructure'!J22+'Stormwater Infrastructure'!J52+'Stormwater Infrastructure'!J82+'Stormwater Infrastructure'!J112</f>
        <v>2777.7777777777778</v>
      </c>
      <c r="G139" s="115">
        <f>'Stormwater Infrastructure'!K22+'Stormwater Infrastructure'!K52+'Stormwater Infrastructure'!K82+'Stormwater Infrastructure'!K112</f>
        <v>0</v>
      </c>
      <c r="H139" s="115">
        <f t="shared" si="21"/>
        <v>64444.444444444467</v>
      </c>
      <c r="I139" s="115">
        <f t="shared" si="22"/>
        <v>46999.999999999993</v>
      </c>
    </row>
    <row r="140" spans="1:9" ht="15.5" x14ac:dyDescent="0.35">
      <c r="A140" s="2">
        <v>45839</v>
      </c>
      <c r="B140" s="115">
        <f>'Stormwater Infrastructure'!E23+'Stormwater Infrastructure'!E53+'Stormwater Infrastructure'!E83+'Stormwater Infrastructure'!E113</f>
        <v>30555.555555555555</v>
      </c>
      <c r="C140" s="115">
        <f>'Stormwater Infrastructure'!F23+'Stormwater Infrastructure'!F53+'Stormwater Infrastructure'!F83+'Stormwater Infrastructure'!F113</f>
        <v>0</v>
      </c>
      <c r="D140" s="115">
        <f t="shared" si="19"/>
        <v>2900638.4444444445</v>
      </c>
      <c r="E140" s="115">
        <f t="shared" si="20"/>
        <v>2756413.3699999996</v>
      </c>
      <c r="F140" s="115">
        <f>'Stormwater Infrastructure'!J23+'Stormwater Infrastructure'!J53+'Stormwater Infrastructure'!J83+'Stormwater Infrastructure'!J113</f>
        <v>2777.7777777777778</v>
      </c>
      <c r="G140" s="115">
        <f>'Stormwater Infrastructure'!K23+'Stormwater Infrastructure'!K53+'Stormwater Infrastructure'!K83+'Stormwater Infrastructure'!K113</f>
        <v>0</v>
      </c>
      <c r="H140" s="115">
        <f t="shared" si="21"/>
        <v>67222.222222222248</v>
      </c>
      <c r="I140" s="115">
        <f t="shared" si="22"/>
        <v>46999.999999999993</v>
      </c>
    </row>
    <row r="141" spans="1:9" ht="15.5" x14ac:dyDescent="0.35">
      <c r="A141" s="2">
        <v>45931</v>
      </c>
      <c r="B141" s="115">
        <f>'Stormwater Infrastructure'!E24+'Stormwater Infrastructure'!E54+'Stormwater Infrastructure'!E84+'Stormwater Infrastructure'!E114</f>
        <v>30555.555555555555</v>
      </c>
      <c r="C141" s="115">
        <f>'Stormwater Infrastructure'!F24+'Stormwater Infrastructure'!F54+'Stormwater Infrastructure'!F84+'Stormwater Infrastructure'!F114</f>
        <v>0</v>
      </c>
      <c r="D141" s="115">
        <f t="shared" si="19"/>
        <v>2931194</v>
      </c>
      <c r="E141" s="115">
        <f t="shared" si="20"/>
        <v>2756413.3699999996</v>
      </c>
      <c r="F141" s="115">
        <f>'Stormwater Infrastructure'!J24+'Stormwater Infrastructure'!J54+'Stormwater Infrastructure'!J84+'Stormwater Infrastructure'!J114</f>
        <v>2777.7777777777778</v>
      </c>
      <c r="G141" s="115">
        <f>'Stormwater Infrastructure'!K24+'Stormwater Infrastructure'!K54+'Stormwater Infrastructure'!K84+'Stormwater Infrastructure'!K114</f>
        <v>0</v>
      </c>
      <c r="H141" s="115">
        <f t="shared" si="21"/>
        <v>70000.000000000029</v>
      </c>
      <c r="I141" s="115">
        <f t="shared" si="22"/>
        <v>46999.999999999993</v>
      </c>
    </row>
    <row r="142" spans="1:9" ht="15.5" x14ac:dyDescent="0.35">
      <c r="A142" s="2">
        <v>46023</v>
      </c>
      <c r="B142" s="115">
        <f>'Stormwater Infrastructure'!E25+'Stormwater Infrastructure'!E55+'Stormwater Infrastructure'!E85+'Stormwater Infrastructure'!E115</f>
        <v>0</v>
      </c>
      <c r="C142" s="115">
        <f>'Stormwater Infrastructure'!F25+'Stormwater Infrastructure'!F55+'Stormwater Infrastructure'!F85+'Stormwater Infrastructure'!F115</f>
        <v>0</v>
      </c>
      <c r="D142" s="115">
        <f t="shared" si="19"/>
        <v>2931194</v>
      </c>
      <c r="E142" s="115">
        <f t="shared" si="20"/>
        <v>2756413.3699999996</v>
      </c>
      <c r="F142" s="115">
        <f>'Stormwater Infrastructure'!J25+'Stormwater Infrastructure'!J55+'Stormwater Infrastructure'!J85+'Stormwater Infrastructure'!J115</f>
        <v>0</v>
      </c>
      <c r="G142" s="115">
        <f>'Stormwater Infrastructure'!K25+'Stormwater Infrastructure'!K55+'Stormwater Infrastructure'!K85+'Stormwater Infrastructure'!K115</f>
        <v>0</v>
      </c>
      <c r="H142" s="115">
        <f t="shared" si="21"/>
        <v>70000.000000000029</v>
      </c>
      <c r="I142" s="115">
        <f t="shared" si="22"/>
        <v>46999.999999999993</v>
      </c>
    </row>
    <row r="143" spans="1:9" ht="15.5" x14ac:dyDescent="0.35">
      <c r="A143" s="2">
        <v>46113</v>
      </c>
      <c r="B143" s="115">
        <f>'Stormwater Infrastructure'!E26+'Stormwater Infrastructure'!E56+'Stormwater Infrastructure'!E86+'Stormwater Infrastructure'!E116</f>
        <v>0</v>
      </c>
      <c r="C143" s="115">
        <f>'Stormwater Infrastructure'!F26+'Stormwater Infrastructure'!F56+'Stormwater Infrastructure'!F86+'Stormwater Infrastructure'!F116</f>
        <v>0</v>
      </c>
      <c r="D143" s="115">
        <f t="shared" si="19"/>
        <v>2931194</v>
      </c>
      <c r="E143" s="115">
        <f t="shared" si="20"/>
        <v>2756413.3699999996</v>
      </c>
      <c r="F143" s="115">
        <f>'Stormwater Infrastructure'!J26+'Stormwater Infrastructure'!J56+'Stormwater Infrastructure'!J86+'Stormwater Infrastructure'!J116</f>
        <v>0</v>
      </c>
      <c r="G143" s="115">
        <f>'Stormwater Infrastructure'!K26+'Stormwater Infrastructure'!K56+'Stormwater Infrastructure'!K86+'Stormwater Infrastructure'!K116</f>
        <v>0</v>
      </c>
      <c r="H143" s="115">
        <f t="shared" si="21"/>
        <v>70000.000000000029</v>
      </c>
      <c r="I143" s="115">
        <f t="shared" si="22"/>
        <v>46999.999999999993</v>
      </c>
    </row>
    <row r="144" spans="1:9" ht="15.5" x14ac:dyDescent="0.35">
      <c r="A144" s="2">
        <v>46204</v>
      </c>
      <c r="B144" s="115">
        <f>'Stormwater Infrastructure'!E27+'Stormwater Infrastructure'!E57+'Stormwater Infrastructure'!E87+'Stormwater Infrastructure'!E117</f>
        <v>0</v>
      </c>
      <c r="C144" s="115">
        <f>'Stormwater Infrastructure'!F27+'Stormwater Infrastructure'!F57+'Stormwater Infrastructure'!F87+'Stormwater Infrastructure'!F117</f>
        <v>0</v>
      </c>
      <c r="D144" s="115">
        <f t="shared" si="19"/>
        <v>2931194</v>
      </c>
      <c r="E144" s="115">
        <f t="shared" si="20"/>
        <v>2756413.3699999996</v>
      </c>
      <c r="F144" s="115">
        <f>'Stormwater Infrastructure'!J27+'Stormwater Infrastructure'!J57+'Stormwater Infrastructure'!J87+'Stormwater Infrastructure'!J117</f>
        <v>0</v>
      </c>
      <c r="G144" s="115">
        <f>'Stormwater Infrastructure'!K27+'Stormwater Infrastructure'!K57+'Stormwater Infrastructure'!K87+'Stormwater Infrastructure'!K117</f>
        <v>0</v>
      </c>
      <c r="H144" s="115">
        <f t="shared" si="21"/>
        <v>70000.000000000029</v>
      </c>
      <c r="I144" s="115">
        <f t="shared" si="22"/>
        <v>46999.999999999993</v>
      </c>
    </row>
    <row r="145" spans="1:10" x14ac:dyDescent="0.35">
      <c r="A145" s="63" t="s">
        <v>13</v>
      </c>
      <c r="B145" s="58">
        <f>SUM(B121:B144)</f>
        <v>2931194</v>
      </c>
      <c r="C145" s="58">
        <f>SUM(C121:C144)</f>
        <v>2756413.3699999996</v>
      </c>
      <c r="D145" s="58">
        <f>D144</f>
        <v>2931194</v>
      </c>
      <c r="E145" s="58">
        <f>E144</f>
        <v>2756413.3699999996</v>
      </c>
      <c r="F145" s="58">
        <f>SUM(F121:F144)</f>
        <v>70000.000000000029</v>
      </c>
      <c r="G145" s="58">
        <f>SUM(G121:G144)</f>
        <v>46999.999999999993</v>
      </c>
      <c r="H145" s="58">
        <f>H144</f>
        <v>70000.000000000029</v>
      </c>
      <c r="I145" s="58">
        <f>I144</f>
        <v>46999.999999999993</v>
      </c>
      <c r="J145" s="33"/>
    </row>
    <row r="146" spans="1:10" x14ac:dyDescent="0.35">
      <c r="A146" s="63" t="s">
        <v>117</v>
      </c>
      <c r="B146" s="121">
        <f>D145+F145</f>
        <v>3001194</v>
      </c>
      <c r="C146" s="115"/>
      <c r="D146" s="115"/>
      <c r="E146" s="115"/>
      <c r="F146" s="115"/>
      <c r="G146" s="115"/>
      <c r="H146" s="115"/>
      <c r="I146" s="115"/>
      <c r="J146" s="33"/>
    </row>
    <row r="147" spans="1:10" x14ac:dyDescent="0.35">
      <c r="A147" s="63" t="s">
        <v>118</v>
      </c>
      <c r="B147" s="121">
        <f>E145+I145</f>
        <v>2803413.3699999996</v>
      </c>
      <c r="C147" s="115"/>
      <c r="D147" s="115"/>
      <c r="E147" s="115"/>
      <c r="F147" s="115"/>
      <c r="G147" s="115"/>
      <c r="H147" s="115"/>
      <c r="I147" s="115"/>
      <c r="J147" s="33"/>
    </row>
    <row r="148" spans="1:10" x14ac:dyDescent="0.35">
      <c r="B148" s="5"/>
      <c r="C148" s="33"/>
      <c r="D148" s="33"/>
      <c r="E148" s="33"/>
      <c r="F148" s="5"/>
      <c r="G148" s="33"/>
      <c r="H148" s="33"/>
      <c r="I148" s="33"/>
    </row>
    <row r="149" spans="1:10" x14ac:dyDescent="0.35">
      <c r="E149" s="33"/>
    </row>
    <row r="151" spans="1:10" x14ac:dyDescent="0.35">
      <c r="A151" s="62" t="s">
        <v>61</v>
      </c>
      <c r="B151" s="55" t="s">
        <v>28</v>
      </c>
      <c r="C151" s="56" t="s">
        <v>32</v>
      </c>
      <c r="D151" s="56" t="s">
        <v>29</v>
      </c>
      <c r="E151" s="56" t="s">
        <v>33</v>
      </c>
      <c r="F151" s="151"/>
      <c r="G151" s="126"/>
      <c r="H151" s="126"/>
      <c r="I151" s="126"/>
      <c r="J151" s="126"/>
    </row>
    <row r="152" spans="1:10" ht="15.5" x14ac:dyDescent="0.35">
      <c r="A152" s="65">
        <v>44105</v>
      </c>
      <c r="B152" s="113">
        <f>Planning!E4+Planning!E34+Planning!E64+Planning!E94</f>
        <v>0</v>
      </c>
      <c r="C152" s="113">
        <f>Planning!F4+Planning!F34+Planning!F64+Planning!F94</f>
        <v>0</v>
      </c>
      <c r="D152" s="113">
        <f>B152</f>
        <v>0</v>
      </c>
      <c r="E152" s="113">
        <f>C152</f>
        <v>0</v>
      </c>
      <c r="F152" s="158"/>
      <c r="G152" s="158"/>
      <c r="H152" s="158"/>
      <c r="I152" s="158"/>
      <c r="J152" s="33"/>
    </row>
    <row r="153" spans="1:10" ht="15.5" x14ac:dyDescent="0.35">
      <c r="A153" s="65">
        <v>44197</v>
      </c>
      <c r="B153" s="113">
        <f>Planning!E5+Planning!E35+Planning!E65+Planning!E95</f>
        <v>5467.4285714285716</v>
      </c>
      <c r="C153" s="113">
        <f>Planning!F5+Planning!F35+Planning!F65+Planning!F95</f>
        <v>26417</v>
      </c>
      <c r="D153" s="113">
        <f>D152+B153</f>
        <v>5467.4285714285716</v>
      </c>
      <c r="E153" s="113">
        <f>E152+C153</f>
        <v>26417</v>
      </c>
      <c r="F153" s="158"/>
      <c r="G153" s="158"/>
      <c r="H153" s="158"/>
      <c r="I153" s="158"/>
      <c r="J153" s="33"/>
    </row>
    <row r="154" spans="1:10" ht="15.5" x14ac:dyDescent="0.35">
      <c r="A154" s="65">
        <v>44287</v>
      </c>
      <c r="B154" s="113">
        <f>Planning!E6+Planning!E36+Planning!E66+Planning!E96</f>
        <v>5467.4285714285716</v>
      </c>
      <c r="C154" s="113">
        <f>Planning!F6+Planning!F36+Planning!F66+Planning!F96</f>
        <v>11855</v>
      </c>
      <c r="D154" s="113">
        <f t="shared" ref="D154:D175" si="23">D153+B154</f>
        <v>10934.857142857143</v>
      </c>
      <c r="E154" s="113">
        <f t="shared" ref="E154:E175" si="24">E153+C154</f>
        <v>38272</v>
      </c>
      <c r="F154" s="158"/>
      <c r="G154" s="158"/>
      <c r="H154" s="158"/>
      <c r="I154" s="158"/>
      <c r="J154" s="33"/>
    </row>
    <row r="155" spans="1:10" ht="15.5" x14ac:dyDescent="0.35">
      <c r="A155" s="65">
        <v>44378</v>
      </c>
      <c r="B155" s="113">
        <f>Planning!E7+Planning!E37+Planning!E67+Planning!E97</f>
        <v>5467.4285714285716</v>
      </c>
      <c r="C155" s="113">
        <f>Planning!F7+Planning!F37+Planning!F67+Planning!F97</f>
        <v>0</v>
      </c>
      <c r="D155" s="113">
        <f t="shared" si="23"/>
        <v>16402.285714285714</v>
      </c>
      <c r="E155" s="113">
        <f t="shared" si="24"/>
        <v>38272</v>
      </c>
      <c r="F155" s="158"/>
      <c r="G155" s="158"/>
      <c r="H155" s="158"/>
      <c r="I155" s="158"/>
      <c r="J155" s="33"/>
    </row>
    <row r="156" spans="1:10" ht="15.5" x14ac:dyDescent="0.35">
      <c r="A156" s="65">
        <v>44470</v>
      </c>
      <c r="B156" s="113">
        <f>Planning!E8+Planning!E38+Planning!E68+Planning!E98</f>
        <v>5467.4285714285716</v>
      </c>
      <c r="C156" s="113">
        <f>Planning!F8+Planning!F38+Planning!F68+Planning!F98</f>
        <v>0</v>
      </c>
      <c r="D156" s="113">
        <f t="shared" si="23"/>
        <v>21869.714285714286</v>
      </c>
      <c r="E156" s="113">
        <f t="shared" si="24"/>
        <v>38272</v>
      </c>
      <c r="F156" s="158"/>
      <c r="G156" s="158"/>
      <c r="H156" s="158"/>
      <c r="I156" s="158"/>
      <c r="J156" s="33"/>
    </row>
    <row r="157" spans="1:10" ht="15.5" x14ac:dyDescent="0.35">
      <c r="A157" s="65">
        <v>44562</v>
      </c>
      <c r="B157" s="113">
        <f>Planning!E9+Planning!E39+Planning!E69+Planning!E99</f>
        <v>5467.4285714285716</v>
      </c>
      <c r="C157" s="113">
        <f>Planning!F9+Planning!F39+Planning!F69+Planning!F99</f>
        <v>0</v>
      </c>
      <c r="D157" s="113">
        <f t="shared" si="23"/>
        <v>27337.142857142859</v>
      </c>
      <c r="E157" s="113">
        <f t="shared" si="24"/>
        <v>38272</v>
      </c>
      <c r="F157" s="158"/>
      <c r="G157" s="158"/>
      <c r="H157" s="158"/>
      <c r="I157" s="158"/>
      <c r="J157" s="33"/>
    </row>
    <row r="158" spans="1:10" ht="15.5" x14ac:dyDescent="0.35">
      <c r="A158" s="65">
        <v>44652</v>
      </c>
      <c r="B158" s="113">
        <f>Planning!E10+Planning!E40+Planning!E70+Planning!E100</f>
        <v>55482.7012987013</v>
      </c>
      <c r="C158" s="113">
        <f>Planning!F10+Planning!F40+Planning!F70+Planning!F100</f>
        <v>0</v>
      </c>
      <c r="D158" s="113">
        <f t="shared" si="23"/>
        <v>82819.844155844155</v>
      </c>
      <c r="E158" s="113">
        <f t="shared" si="24"/>
        <v>38272</v>
      </c>
      <c r="F158" s="158"/>
      <c r="G158" s="158"/>
      <c r="H158" s="158"/>
      <c r="I158" s="158"/>
      <c r="J158" s="33"/>
    </row>
    <row r="159" spans="1:10" ht="15.5" x14ac:dyDescent="0.35">
      <c r="A159" s="65">
        <v>44743</v>
      </c>
      <c r="B159" s="113">
        <f>Planning!E11+Planning!E41+Planning!E71+Planning!E101</f>
        <v>86732.7012987013</v>
      </c>
      <c r="C159" s="113">
        <f>Planning!F11+Planning!F41+Planning!F71+Planning!F101</f>
        <v>18410</v>
      </c>
      <c r="D159" s="113">
        <f t="shared" si="23"/>
        <v>169552.54545454547</v>
      </c>
      <c r="E159" s="113">
        <f t="shared" si="24"/>
        <v>56682</v>
      </c>
      <c r="F159" s="158"/>
      <c r="G159" s="158"/>
      <c r="H159" s="158"/>
      <c r="I159" s="158"/>
      <c r="J159" s="33"/>
    </row>
    <row r="160" spans="1:10" ht="15.5" x14ac:dyDescent="0.35">
      <c r="A160" s="65">
        <v>44835</v>
      </c>
      <c r="B160" s="113">
        <f>Planning!E12+Planning!E42+Planning!E72+Planning!E102</f>
        <v>81265.272727272735</v>
      </c>
      <c r="C160" s="113">
        <f>Planning!F12+Planning!F42+Planning!F72+Planning!F102</f>
        <v>37429.54</v>
      </c>
      <c r="D160" s="113">
        <f t="shared" si="23"/>
        <v>250817.81818181821</v>
      </c>
      <c r="E160" s="113">
        <f t="shared" si="24"/>
        <v>94111.540000000008</v>
      </c>
      <c r="F160" s="158"/>
      <c r="G160" s="158"/>
      <c r="H160" s="158"/>
      <c r="I160" s="158"/>
      <c r="J160" s="33"/>
    </row>
    <row r="161" spans="1:10" ht="15.5" x14ac:dyDescent="0.35">
      <c r="A161" s="65">
        <v>44927</v>
      </c>
      <c r="B161" s="113">
        <f>Planning!E13+Planning!E43+Planning!E73+Planning!E103</f>
        <v>81265.272727272735</v>
      </c>
      <c r="C161" s="113">
        <f>Planning!F13+Planning!F43+Planning!F73+Planning!F103</f>
        <v>45067.53</v>
      </c>
      <c r="D161" s="113">
        <f t="shared" si="23"/>
        <v>332083.09090909094</v>
      </c>
      <c r="E161" s="113">
        <f t="shared" si="24"/>
        <v>139179.07</v>
      </c>
      <c r="F161" s="158"/>
      <c r="G161" s="158"/>
      <c r="H161" s="158"/>
      <c r="I161" s="158"/>
      <c r="J161" s="33"/>
    </row>
    <row r="162" spans="1:10" ht="15.5" x14ac:dyDescent="0.35">
      <c r="A162" s="65">
        <v>45017</v>
      </c>
      <c r="B162" s="113">
        <f>Planning!E14+Planning!E44+Planning!E74+Planning!E104</f>
        <v>81265.272727272735</v>
      </c>
      <c r="C162" s="113">
        <f>Planning!F14+Planning!F44+Planning!F74+Planning!F104</f>
        <v>65778.790000000008</v>
      </c>
      <c r="D162" s="113">
        <f t="shared" si="23"/>
        <v>413348.36363636365</v>
      </c>
      <c r="E162" s="113">
        <f t="shared" si="24"/>
        <v>204957.86000000002</v>
      </c>
      <c r="F162" s="158"/>
      <c r="G162" s="158"/>
      <c r="H162" s="158"/>
      <c r="I162" s="158"/>
      <c r="J162" s="33"/>
    </row>
    <row r="163" spans="1:10" ht="15.5" x14ac:dyDescent="0.35">
      <c r="A163" s="65">
        <v>45108</v>
      </c>
      <c r="B163" s="113">
        <f>Planning!E15+Planning!E45+Planning!E75+Planning!E105</f>
        <v>81265.272727272735</v>
      </c>
      <c r="C163" s="113">
        <f>Planning!F15+Planning!F45+Planning!F75+Planning!F105</f>
        <v>135522.10999999999</v>
      </c>
      <c r="D163" s="113">
        <f t="shared" si="23"/>
        <v>494613.63636363635</v>
      </c>
      <c r="E163" s="113">
        <f t="shared" si="24"/>
        <v>340479.97</v>
      </c>
      <c r="F163" s="158"/>
      <c r="G163" s="158"/>
      <c r="H163" s="158"/>
      <c r="I163" s="158"/>
      <c r="J163" s="33"/>
    </row>
    <row r="164" spans="1:10" ht="15.5" x14ac:dyDescent="0.35">
      <c r="A164" s="65">
        <v>45200</v>
      </c>
      <c r="B164" s="113">
        <f>Planning!E16+Planning!E46+Planning!E76+Planning!E106</f>
        <v>81265.272727272735</v>
      </c>
      <c r="C164" s="113">
        <f>Planning!F16+Planning!F46+Planning!F76+Planning!F106</f>
        <v>100992.92</v>
      </c>
      <c r="D164" s="113">
        <f t="shared" si="23"/>
        <v>575878.90909090906</v>
      </c>
      <c r="E164" s="113">
        <f t="shared" si="24"/>
        <v>441472.88999999996</v>
      </c>
      <c r="F164" s="158"/>
      <c r="G164" s="158"/>
      <c r="H164" s="158"/>
      <c r="I164" s="158"/>
      <c r="J164" s="33"/>
    </row>
    <row r="165" spans="1:10" ht="15.5" x14ac:dyDescent="0.35">
      <c r="A165" s="65">
        <v>45292</v>
      </c>
      <c r="B165" s="113">
        <f>Planning!E17+Planning!E47+Planning!E77+Planning!E107</f>
        <v>81265.272727272735</v>
      </c>
      <c r="C165" s="113">
        <f>Planning!F17+Planning!F47+Planning!F77+Planning!F107</f>
        <v>69532.179999999993</v>
      </c>
      <c r="D165" s="113">
        <f t="shared" si="23"/>
        <v>657144.18181818177</v>
      </c>
      <c r="E165" s="113">
        <f t="shared" si="24"/>
        <v>511005.06999999995</v>
      </c>
      <c r="F165" s="158"/>
      <c r="G165" s="158"/>
      <c r="H165" s="158"/>
      <c r="I165" s="158"/>
      <c r="J165" s="33"/>
    </row>
    <row r="166" spans="1:10" ht="15.5" x14ac:dyDescent="0.35">
      <c r="A166" s="65">
        <v>45383</v>
      </c>
      <c r="B166" s="113">
        <f>Planning!E18+Planning!E48+Planning!E78+Planning!E108</f>
        <v>81265.272727272735</v>
      </c>
      <c r="C166" s="113">
        <f>Planning!F18+Planning!F48+Planning!F78+Planning!F108</f>
        <v>17580.489999999998</v>
      </c>
      <c r="D166" s="113">
        <f t="shared" si="23"/>
        <v>738409.45454545447</v>
      </c>
      <c r="E166" s="113">
        <f t="shared" si="24"/>
        <v>528585.55999999994</v>
      </c>
      <c r="F166" s="158"/>
      <c r="G166" s="158"/>
      <c r="H166" s="158"/>
      <c r="I166" s="158"/>
      <c r="J166" s="33"/>
    </row>
    <row r="167" spans="1:10" ht="15.5" x14ac:dyDescent="0.35">
      <c r="A167" s="65">
        <v>45474</v>
      </c>
      <c r="B167" s="113">
        <f>Planning!E19+Planning!E49+Planning!E79+Planning!E109</f>
        <v>81265.272727272735</v>
      </c>
      <c r="C167" s="113">
        <f>Planning!F19+Planning!F49+Planning!F79+Planning!F109</f>
        <v>123846.22</v>
      </c>
      <c r="D167" s="113">
        <f t="shared" si="23"/>
        <v>819674.72727272718</v>
      </c>
      <c r="E167" s="113">
        <f t="shared" si="24"/>
        <v>652431.77999999991</v>
      </c>
      <c r="F167" s="158"/>
      <c r="G167" s="158"/>
      <c r="H167" s="158"/>
      <c r="I167" s="158"/>
      <c r="J167" s="33"/>
    </row>
    <row r="168" spans="1:10" ht="15.5" x14ac:dyDescent="0.35">
      <c r="A168" s="2">
        <v>45566</v>
      </c>
      <c r="B168" s="115">
        <f>Planning!E20+Planning!E50+Planning!E80+Planning!E110</f>
        <v>81265.272727272735</v>
      </c>
      <c r="C168" s="115">
        <f>Planning!F20+Planning!F50+Planning!F80+Planning!F110</f>
        <v>0</v>
      </c>
      <c r="D168" s="115">
        <f t="shared" si="23"/>
        <v>900939.99999999988</v>
      </c>
      <c r="E168" s="115">
        <f t="shared" si="24"/>
        <v>652431.77999999991</v>
      </c>
      <c r="F168" s="158"/>
      <c r="G168" s="158"/>
      <c r="H168" s="158"/>
      <c r="I168" s="158"/>
      <c r="J168" s="33"/>
    </row>
    <row r="169" spans="1:10" ht="15.5" x14ac:dyDescent="0.35">
      <c r="A169" s="2">
        <v>45658</v>
      </c>
      <c r="B169" s="115">
        <f>Planning!E21+Planning!E51+Planning!E81+Planning!E111</f>
        <v>31250</v>
      </c>
      <c r="C169" s="115">
        <f>Planning!F21+Planning!F51+Planning!F81+Planning!F111</f>
        <v>0</v>
      </c>
      <c r="D169" s="115">
        <f t="shared" si="23"/>
        <v>932189.99999999988</v>
      </c>
      <c r="E169" s="115">
        <f t="shared" si="24"/>
        <v>652431.77999999991</v>
      </c>
      <c r="F169" s="158"/>
      <c r="G169" s="158"/>
      <c r="H169" s="158"/>
      <c r="I169" s="158"/>
      <c r="J169" s="33"/>
    </row>
    <row r="170" spans="1:10" ht="15.5" x14ac:dyDescent="0.35">
      <c r="A170" s="2">
        <v>45748</v>
      </c>
      <c r="B170" s="115">
        <f>Planning!E22+Planning!E52+Planning!E82+Planning!E112</f>
        <v>31250</v>
      </c>
      <c r="C170" s="115">
        <f>Planning!F22+Planning!F52+Planning!F82+Planning!F112</f>
        <v>0</v>
      </c>
      <c r="D170" s="115">
        <f t="shared" si="23"/>
        <v>963439.99999999988</v>
      </c>
      <c r="E170" s="115">
        <f>E169+C170</f>
        <v>652431.77999999991</v>
      </c>
      <c r="F170" s="158"/>
      <c r="G170" s="158"/>
      <c r="H170" s="158"/>
      <c r="I170" s="158"/>
      <c r="J170" s="33"/>
    </row>
    <row r="171" spans="1:10" ht="15.5" x14ac:dyDescent="0.35">
      <c r="A171" s="2">
        <v>45839</v>
      </c>
      <c r="B171" s="115">
        <f>Planning!E23+Planning!E53+Planning!E83+Planning!E113</f>
        <v>31250</v>
      </c>
      <c r="C171" s="115">
        <f>Planning!F23+Planning!F53+Planning!F83+Planning!F113</f>
        <v>0</v>
      </c>
      <c r="D171" s="115">
        <f>D170+B171</f>
        <v>994689.99999999988</v>
      </c>
      <c r="E171" s="115">
        <f t="shared" si="24"/>
        <v>652431.77999999991</v>
      </c>
      <c r="F171" s="158"/>
      <c r="G171" s="158"/>
      <c r="H171" s="158"/>
      <c r="I171" s="158"/>
      <c r="J171" s="33"/>
    </row>
    <row r="172" spans="1:10" ht="15.5" x14ac:dyDescent="0.35">
      <c r="A172" s="2">
        <v>45931</v>
      </c>
      <c r="B172" s="115">
        <f>Planning!E24+Planning!E54+Planning!E84+Planning!E114</f>
        <v>31250</v>
      </c>
      <c r="C172" s="115">
        <f>Planning!F24+Planning!F54+Planning!F84+Planning!F114</f>
        <v>0</v>
      </c>
      <c r="D172" s="115">
        <f t="shared" si="23"/>
        <v>1025939.9999999999</v>
      </c>
      <c r="E172" s="115">
        <f t="shared" si="24"/>
        <v>652431.77999999991</v>
      </c>
      <c r="F172" s="158"/>
      <c r="G172" s="158"/>
      <c r="H172" s="158"/>
      <c r="I172" s="158"/>
      <c r="J172" s="33"/>
    </row>
    <row r="173" spans="1:10" ht="15.5" x14ac:dyDescent="0.35">
      <c r="A173" s="2">
        <v>46023</v>
      </c>
      <c r="B173" s="115">
        <f>Planning!E25+Planning!E55+Planning!E85+Planning!E115</f>
        <v>31250</v>
      </c>
      <c r="C173" s="115">
        <f>Planning!F25+Planning!F55+Planning!F85+Planning!F115</f>
        <v>0</v>
      </c>
      <c r="D173" s="115">
        <f t="shared" si="23"/>
        <v>1057190</v>
      </c>
      <c r="E173" s="115">
        <f t="shared" si="24"/>
        <v>652431.77999999991</v>
      </c>
      <c r="F173" s="158"/>
      <c r="G173" s="158"/>
      <c r="H173" s="158"/>
      <c r="I173" s="158"/>
      <c r="J173" s="33"/>
    </row>
    <row r="174" spans="1:10" ht="15.5" x14ac:dyDescent="0.35">
      <c r="A174" s="2">
        <v>46113</v>
      </c>
      <c r="B174" s="115">
        <f>Planning!E26+Planning!E56+Planning!E86+Planning!E116</f>
        <v>31250</v>
      </c>
      <c r="C174" s="115">
        <f>Planning!F26+Planning!F56+Planning!F86+Planning!F116</f>
        <v>0</v>
      </c>
      <c r="D174" s="115">
        <f t="shared" si="23"/>
        <v>1088440</v>
      </c>
      <c r="E174" s="115">
        <f t="shared" si="24"/>
        <v>652431.77999999991</v>
      </c>
      <c r="F174" s="158"/>
      <c r="G174" s="158"/>
      <c r="H174" s="158"/>
      <c r="I174" s="158"/>
      <c r="J174" s="33"/>
    </row>
    <row r="175" spans="1:10" ht="15.5" x14ac:dyDescent="0.35">
      <c r="A175" s="2">
        <v>46204</v>
      </c>
      <c r="B175" s="115">
        <f>Planning!E27+Planning!E57+Planning!E87+Planning!E117</f>
        <v>0</v>
      </c>
      <c r="C175" s="115">
        <f>Planning!F27+Planning!F57+Planning!F87+Planning!F117</f>
        <v>0</v>
      </c>
      <c r="D175" s="115">
        <f t="shared" si="23"/>
        <v>1088440</v>
      </c>
      <c r="E175" s="115">
        <f t="shared" si="24"/>
        <v>652431.77999999991</v>
      </c>
      <c r="F175" s="158"/>
      <c r="G175" s="158"/>
      <c r="H175" s="158"/>
      <c r="I175" s="158"/>
      <c r="J175" s="33"/>
    </row>
    <row r="176" spans="1:10" x14ac:dyDescent="0.35">
      <c r="A176" s="63" t="s">
        <v>13</v>
      </c>
      <c r="B176" s="155">
        <f>SUM(B152:B175)</f>
        <v>1088440</v>
      </c>
      <c r="C176" s="155">
        <f>SUM(C152:C175)</f>
        <v>652431.77999999991</v>
      </c>
      <c r="D176" s="155">
        <f>D175</f>
        <v>1088440</v>
      </c>
      <c r="E176" s="155">
        <f>E175</f>
        <v>652431.77999999991</v>
      </c>
      <c r="F176" s="159"/>
      <c r="G176" s="29"/>
      <c r="H176" s="29"/>
      <c r="I176" s="47"/>
      <c r="J176" s="47"/>
    </row>
    <row r="177" spans="1:86" x14ac:dyDescent="0.35">
      <c r="A177" s="63" t="s">
        <v>129</v>
      </c>
      <c r="B177" s="121">
        <f>D176+F176</f>
        <v>1088440</v>
      </c>
      <c r="C177" s="33"/>
      <c r="D177" s="33"/>
      <c r="E177" s="33"/>
      <c r="F177" s="5"/>
      <c r="G177" s="33"/>
      <c r="H177" s="33"/>
      <c r="I177" s="33"/>
    </row>
    <row r="178" spans="1:86" x14ac:dyDescent="0.35">
      <c r="A178" s="63" t="s">
        <v>130</v>
      </c>
      <c r="B178" s="121">
        <f>E176+I176</f>
        <v>652431.77999999991</v>
      </c>
    </row>
    <row r="181" spans="1:86" x14ac:dyDescent="0.35">
      <c r="A181" s="54" t="s">
        <v>54</v>
      </c>
      <c r="B181" s="55" t="s">
        <v>28</v>
      </c>
      <c r="C181" s="56" t="s">
        <v>30</v>
      </c>
      <c r="D181" s="56" t="s">
        <v>29</v>
      </c>
      <c r="E181" s="56" t="s">
        <v>31</v>
      </c>
    </row>
    <row r="182" spans="1:86" ht="15.5" x14ac:dyDescent="0.35">
      <c r="A182" s="65">
        <v>44105</v>
      </c>
      <c r="B182" s="113">
        <f>Admin!E4+Admin!E34+Admin!E64+Admin!E94+Admin!E124+Admin!E154+Admin!E184+Admin!E214</f>
        <v>115039.50624999999</v>
      </c>
      <c r="C182" s="113">
        <f>Admin!F4+Admin!F34+Admin!F64+Admin!F94+Admin!F124+Admin!F154+Admin!F184+Admin!F214</f>
        <v>0</v>
      </c>
      <c r="D182" s="113">
        <f>B182</f>
        <v>115039.50624999999</v>
      </c>
      <c r="E182" s="113">
        <f>C182</f>
        <v>0</v>
      </c>
    </row>
    <row r="183" spans="1:86" ht="15.5" x14ac:dyDescent="0.35">
      <c r="A183" s="65">
        <v>44197</v>
      </c>
      <c r="B183" s="113">
        <f>Admin!E5+Admin!E35+Admin!E65+Admin!E95+Admin!E125+Admin!E155+Admin!E185+Admin!E215</f>
        <v>135622.11648809523</v>
      </c>
      <c r="C183" s="113">
        <f>Admin!F5+Admin!F35+Admin!F65+Admin!F95+Admin!F125+Admin!F155+Admin!F185+Admin!F215</f>
        <v>222997.59</v>
      </c>
      <c r="D183" s="113">
        <f>D182+B183</f>
        <v>250661.62273809523</v>
      </c>
      <c r="E183" s="113">
        <f>E182+C183</f>
        <v>222997.59</v>
      </c>
    </row>
    <row r="184" spans="1:86" ht="15.5" x14ac:dyDescent="0.35">
      <c r="A184" s="65">
        <v>44287</v>
      </c>
      <c r="B184" s="113">
        <f>Admin!E6+Admin!E36+Admin!E66+Admin!E96+Admin!E126+Admin!E156+Admin!E186+Admin!E216</f>
        <v>135622.11648809523</v>
      </c>
      <c r="C184" s="113">
        <f>Admin!F6+Admin!F36+Admin!F66+Admin!F96+Admin!F126+Admin!F156+Admin!F186+Admin!F216</f>
        <v>41450</v>
      </c>
      <c r="D184" s="113">
        <f t="shared" ref="D184:D205" si="25">D183+B184</f>
        <v>386283.73922619049</v>
      </c>
      <c r="E184" s="113">
        <f t="shared" ref="E184:E205" si="26">E183+C184</f>
        <v>264447.58999999997</v>
      </c>
    </row>
    <row r="185" spans="1:86" ht="15.5" x14ac:dyDescent="0.35">
      <c r="A185" s="65">
        <v>44378</v>
      </c>
      <c r="B185" s="113">
        <f>Admin!E7+Admin!E37+Admin!E67+Admin!E97+Admin!E127+Admin!E157+Admin!E187+Admin!E217</f>
        <v>135622.11648809523</v>
      </c>
      <c r="C185" s="113">
        <f>Admin!F7+Admin!F37+Admin!F67+Admin!F97+Admin!F127+Admin!F157+Admin!F187+Admin!F217</f>
        <v>100629</v>
      </c>
      <c r="D185" s="113">
        <f t="shared" si="25"/>
        <v>521905.85571428575</v>
      </c>
      <c r="E185" s="113">
        <f t="shared" si="26"/>
        <v>365076.58999999997</v>
      </c>
    </row>
    <row r="186" spans="1:86" ht="15.5" x14ac:dyDescent="0.35">
      <c r="A186" s="65">
        <v>44470</v>
      </c>
      <c r="B186" s="113">
        <f>Admin!E8+Admin!E38+Admin!E68+Admin!E98+Admin!E128+Admin!E158+Admin!E188+Admin!E218</f>
        <v>135622.11648809523</v>
      </c>
      <c r="C186" s="113">
        <f>Admin!F8+Admin!F38+Admin!F68+Admin!F98+Admin!F128+Admin!F158+Admin!F188+Admin!F218</f>
        <v>124360</v>
      </c>
      <c r="D186" s="113">
        <f t="shared" si="25"/>
        <v>657527.972202381</v>
      </c>
      <c r="E186" s="113">
        <f t="shared" si="26"/>
        <v>489436.58999999997</v>
      </c>
    </row>
    <row r="187" spans="1:86" ht="15.5" x14ac:dyDescent="0.35">
      <c r="A187" s="65">
        <v>44562</v>
      </c>
      <c r="B187" s="113">
        <f>Admin!E9+Admin!E39+Admin!E69+Admin!E99+Admin!E129+Admin!E159+Admin!E189+Admin!E219</f>
        <v>143398.61648809523</v>
      </c>
      <c r="C187" s="113">
        <f>Admin!F9+Admin!F39+Admin!F69+Admin!F99+Admin!F129+Admin!F159+Admin!F189+Admin!F219</f>
        <v>75164</v>
      </c>
      <c r="D187" s="113">
        <f t="shared" si="25"/>
        <v>800926.58869047626</v>
      </c>
      <c r="E187" s="113">
        <f t="shared" si="26"/>
        <v>564600.59</v>
      </c>
    </row>
    <row r="188" spans="1:86" ht="15.5" x14ac:dyDescent="0.35">
      <c r="A188" s="65">
        <v>44652</v>
      </c>
      <c r="B188" s="113">
        <f>Admin!E10+Admin!E40+Admin!E70+Admin!E100+Admin!E130+Admin!E160+Admin!E190+Admin!E220</f>
        <v>162885.38571886445</v>
      </c>
      <c r="C188" s="113">
        <f>Admin!F10+Admin!F40+Admin!F70+Admin!F100+Admin!F130+Admin!F160+Admin!F190+Admin!F220</f>
        <v>98854</v>
      </c>
      <c r="D188" s="113">
        <f t="shared" si="25"/>
        <v>963811.97440934065</v>
      </c>
      <c r="E188" s="113">
        <f t="shared" si="26"/>
        <v>663454.59</v>
      </c>
    </row>
    <row r="189" spans="1:86" ht="15.5" x14ac:dyDescent="0.35">
      <c r="A189" s="65">
        <v>44743</v>
      </c>
      <c r="B189" s="113">
        <f>Admin!E11+Admin!E41+Admin!E71+Admin!E101+Admin!E131+Admin!E161+Admin!E191+Admin!E221</f>
        <v>162885.38571886445</v>
      </c>
      <c r="C189" s="113">
        <f>Admin!F11+Admin!F41+Admin!F71+Admin!F101+Admin!F131+Admin!F161+Admin!F191+Admin!F221</f>
        <v>293051</v>
      </c>
      <c r="D189" s="113">
        <f t="shared" si="25"/>
        <v>1126697.360128205</v>
      </c>
      <c r="E189" s="113">
        <f t="shared" si="26"/>
        <v>956505.59</v>
      </c>
      <c r="CH189" t="s">
        <v>16</v>
      </c>
    </row>
    <row r="190" spans="1:86" ht="15.5" x14ac:dyDescent="0.35">
      <c r="A190" s="65">
        <v>44835</v>
      </c>
      <c r="B190" s="113">
        <f>Admin!E12+Admin!E42+Admin!E72+Admin!E102+Admin!E132+Admin!E162+Admin!E192+Admin!E222</f>
        <v>162885.38571886445</v>
      </c>
      <c r="C190" s="113">
        <f>Admin!F12+Admin!F42+Admin!F72+Admin!F102+Admin!F132+Admin!F162+Admin!F192+Admin!F222</f>
        <v>265610</v>
      </c>
      <c r="D190" s="113">
        <f t="shared" si="25"/>
        <v>1289582.7458470694</v>
      </c>
      <c r="E190" s="113">
        <f t="shared" si="26"/>
        <v>1222115.5899999999</v>
      </c>
    </row>
    <row r="191" spans="1:86" ht="15.5" x14ac:dyDescent="0.35">
      <c r="A191" s="65">
        <v>44927</v>
      </c>
      <c r="B191" s="113">
        <f>Admin!E13+Admin!E43+Admin!E73+Admin!E103+Admin!E133+Admin!E163+Admin!E193+Admin!E223</f>
        <v>162885.38571886445</v>
      </c>
      <c r="C191" s="113">
        <f>Admin!F13+Admin!F43+Admin!F73+Admin!F103+Admin!F133+Admin!F163+Admin!F193+Admin!F223</f>
        <v>272629.46999999997</v>
      </c>
      <c r="D191" s="113">
        <f t="shared" si="25"/>
        <v>1452468.1315659338</v>
      </c>
      <c r="E191" s="113">
        <f t="shared" si="26"/>
        <v>1494745.0599999998</v>
      </c>
    </row>
    <row r="192" spans="1:86" ht="15.5" x14ac:dyDescent="0.35">
      <c r="A192" s="65">
        <v>45017</v>
      </c>
      <c r="B192" s="113">
        <f>Admin!E14+Admin!E44+Admin!E74+Admin!E104+Admin!E134+Admin!E164+Admin!E194+Admin!E224</f>
        <v>162885.38571886445</v>
      </c>
      <c r="C192" s="113">
        <f>Admin!F14+Admin!F44+Admin!F74+Admin!F104+Admin!F134+Admin!F164+Admin!F194+Admin!F224</f>
        <v>192700</v>
      </c>
      <c r="D192" s="113">
        <f t="shared" si="25"/>
        <v>1615353.5172847982</v>
      </c>
      <c r="E192" s="113">
        <f t="shared" si="26"/>
        <v>1687445.0599999998</v>
      </c>
    </row>
    <row r="193" spans="1:7" ht="15.5" x14ac:dyDescent="0.35">
      <c r="A193" s="65">
        <v>45108</v>
      </c>
      <c r="B193" s="113">
        <f>Admin!E15+Admin!E45+Admin!E75+Admin!E105+Admin!E135+Admin!E165+Admin!E195+Admin!E225</f>
        <v>155966.38571886445</v>
      </c>
      <c r="C193" s="113">
        <f>Admin!F15+Admin!F45+Admin!F75+Admin!F105+Admin!F135+Admin!F165+Admin!F195+Admin!F225</f>
        <v>214626.62</v>
      </c>
      <c r="D193" s="113">
        <f t="shared" si="25"/>
        <v>1771319.9030036626</v>
      </c>
      <c r="E193" s="113">
        <f t="shared" si="26"/>
        <v>1902071.6799999997</v>
      </c>
    </row>
    <row r="194" spans="1:7" ht="15.5" x14ac:dyDescent="0.35">
      <c r="A194" s="65">
        <v>45200</v>
      </c>
      <c r="B194" s="113">
        <f>Admin!E16+Admin!E46+Admin!E76+Admin!E106+Admin!E136+Admin!E166+Admin!E196+Admin!E226</f>
        <v>165924.71905219779</v>
      </c>
      <c r="C194" s="113">
        <f>Admin!F16+Admin!F46+Admin!F76+Admin!F106+Admin!F136+Admin!F166+Admin!F196+Admin!F226</f>
        <v>215177.59</v>
      </c>
      <c r="D194" s="113">
        <f t="shared" si="25"/>
        <v>1937244.6220558605</v>
      </c>
      <c r="E194" s="113">
        <f t="shared" si="26"/>
        <v>2117249.2699999996</v>
      </c>
    </row>
    <row r="195" spans="1:7" ht="15.5" x14ac:dyDescent="0.35">
      <c r="A195" s="65">
        <v>45292</v>
      </c>
      <c r="B195" s="113">
        <f>Admin!E17+Admin!E47+Admin!E77+Admin!E107+Admin!E137+Admin!E167+Admin!E197+Admin!E227</f>
        <v>150556.03738553112</v>
      </c>
      <c r="C195" s="113">
        <f>Admin!F17+Admin!F47+Admin!F77+Admin!F107+Admin!F137+Admin!F167+Admin!F197+Admin!F227</f>
        <v>120812.5</v>
      </c>
      <c r="D195" s="113">
        <f t="shared" si="25"/>
        <v>2087800.6594413915</v>
      </c>
      <c r="E195" s="113">
        <f t="shared" si="26"/>
        <v>2238061.7699999996</v>
      </c>
    </row>
    <row r="196" spans="1:7" ht="15.5" x14ac:dyDescent="0.35">
      <c r="A196" s="65">
        <v>45383</v>
      </c>
      <c r="B196" s="113">
        <f>Admin!E18+Admin!E48+Admin!E78+Admin!E108+Admin!E138+Admin!E168+Admin!E198+Admin!E228</f>
        <v>150556.03738553112</v>
      </c>
      <c r="C196" s="113">
        <f>Admin!F18+Admin!F48+Admin!F78+Admin!F108+Admin!F138+Admin!F168+Admin!F198+Admin!F228</f>
        <v>162201.5</v>
      </c>
      <c r="D196" s="113">
        <f t="shared" si="25"/>
        <v>2238356.6968269227</v>
      </c>
      <c r="E196" s="113">
        <f t="shared" si="26"/>
        <v>2400263.2699999996</v>
      </c>
    </row>
    <row r="197" spans="1:7" ht="15.5" x14ac:dyDescent="0.35">
      <c r="A197" s="65">
        <v>45474</v>
      </c>
      <c r="B197" s="113">
        <f>Admin!E19+Admin!E49+Admin!E79+Admin!E109+Admin!E139+Admin!E169+Admin!E199+Admin!E229</f>
        <v>144484.60881410257</v>
      </c>
      <c r="C197" s="113">
        <f>Admin!F19+Admin!F49+Admin!F79+Admin!F109+Admin!F139+Admin!F169+Admin!F199+Admin!F229</f>
        <v>71482.5</v>
      </c>
      <c r="D197" s="113">
        <f t="shared" si="25"/>
        <v>2382841.3056410253</v>
      </c>
      <c r="E197" s="113">
        <f t="shared" si="26"/>
        <v>2471745.7699999996</v>
      </c>
    </row>
    <row r="198" spans="1:7" ht="15.5" x14ac:dyDescent="0.35">
      <c r="A198" s="2">
        <v>45566</v>
      </c>
      <c r="B198" s="115">
        <f>Admin!E20+Admin!E50+Admin!E80+Admin!E110+Admin!E140+Admin!E170+Admin!E200+Admin!E230</f>
        <v>144484.60881410257</v>
      </c>
      <c r="C198" s="115">
        <f>Admin!F20+Admin!F50+Admin!F80+Admin!F110+Admin!F140+Admin!F170+Admin!F200+Admin!F230</f>
        <v>0</v>
      </c>
      <c r="D198" s="115">
        <f t="shared" si="25"/>
        <v>2527325.9144551279</v>
      </c>
      <c r="E198" s="115">
        <f t="shared" si="26"/>
        <v>2471745.7699999996</v>
      </c>
    </row>
    <row r="199" spans="1:7" ht="15.5" x14ac:dyDescent="0.35">
      <c r="A199" s="2">
        <v>45658</v>
      </c>
      <c r="B199" s="115">
        <f>Admin!E21+Admin!E51+Admin!E81+Admin!E111+Admin!E141+Admin!E171+Admin!E201+Admin!E231</f>
        <v>144484.60881410257</v>
      </c>
      <c r="C199" s="115">
        <f>Admin!F21+Admin!F51+Admin!F81+Admin!F111+Admin!F141+Admin!F171+Admin!F201+Admin!F231</f>
        <v>0</v>
      </c>
      <c r="D199" s="115">
        <f t="shared" si="25"/>
        <v>2671810.5232692305</v>
      </c>
      <c r="E199" s="115">
        <f t="shared" si="26"/>
        <v>2471745.7699999996</v>
      </c>
    </row>
    <row r="200" spans="1:7" ht="15.5" x14ac:dyDescent="0.35">
      <c r="A200" s="2">
        <v>45748</v>
      </c>
      <c r="B200" s="115">
        <f>Admin!E22+Admin!E52+Admin!E82+Admin!E112+Admin!E142+Admin!E172+Admin!E202+Admin!E232</f>
        <v>144484.60881410257</v>
      </c>
      <c r="C200" s="115">
        <f>Admin!F22+Admin!F52+Admin!F82+Admin!F112+Admin!F142+Admin!F172+Admin!F202+Admin!F232</f>
        <v>0</v>
      </c>
      <c r="D200" s="115">
        <f t="shared" si="25"/>
        <v>2816295.1320833331</v>
      </c>
      <c r="E200" s="115">
        <f t="shared" si="26"/>
        <v>2471745.7699999996</v>
      </c>
    </row>
    <row r="201" spans="1:7" ht="15.5" x14ac:dyDescent="0.35">
      <c r="A201" s="2">
        <v>45839</v>
      </c>
      <c r="B201" s="115">
        <f>Admin!E23+Admin!E53+Admin!E83+Admin!E113+Admin!E143+Admin!E173+Admin!E203+Admin!E233</f>
        <v>124997.83958333332</v>
      </c>
      <c r="C201" s="115">
        <f>Admin!F23+Admin!F53+Admin!F83+Admin!F113+Admin!F143+Admin!F173+Admin!F203+Admin!F233</f>
        <v>0</v>
      </c>
      <c r="D201" s="115">
        <f t="shared" si="25"/>
        <v>2941292.9716666662</v>
      </c>
      <c r="E201" s="115">
        <f t="shared" si="26"/>
        <v>2471745.7699999996</v>
      </c>
    </row>
    <row r="202" spans="1:7" ht="15.5" x14ac:dyDescent="0.35">
      <c r="A202" s="2">
        <v>45931</v>
      </c>
      <c r="B202" s="115">
        <f>Admin!E24+Admin!E54+Admin!E84+Admin!E114+Admin!E144+Admin!E174+Admin!E204+Admin!E234</f>
        <v>124997.83958333332</v>
      </c>
      <c r="C202" s="115">
        <f>Admin!F24+Admin!F54+Admin!F84+Admin!F114+Admin!F144+Admin!F174+Admin!F204+Admin!F234</f>
        <v>0</v>
      </c>
      <c r="D202" s="115">
        <f t="shared" si="25"/>
        <v>3066290.8112499993</v>
      </c>
      <c r="E202" s="115">
        <f t="shared" si="26"/>
        <v>2471745.7699999996</v>
      </c>
    </row>
    <row r="203" spans="1:7" ht="15.5" x14ac:dyDescent="0.35">
      <c r="A203" s="2">
        <v>46023</v>
      </c>
      <c r="B203" s="115">
        <f>Admin!E25+Admin!E55+Admin!E85+Admin!E115+Admin!E145+Admin!E175+Admin!E205+Admin!E235</f>
        <v>124997.83958333332</v>
      </c>
      <c r="C203" s="115">
        <f>Admin!F25+Admin!F55+Admin!F85+Admin!F115+Admin!F145+Admin!F175+Admin!F205+Admin!F235</f>
        <v>0</v>
      </c>
      <c r="D203" s="115">
        <f t="shared" si="25"/>
        <v>3191288.6508333324</v>
      </c>
      <c r="E203" s="115">
        <f t="shared" si="26"/>
        <v>2471745.7699999996</v>
      </c>
    </row>
    <row r="204" spans="1:7" ht="15.5" x14ac:dyDescent="0.35">
      <c r="A204" s="2">
        <v>46113</v>
      </c>
      <c r="B204" s="115">
        <f>Admin!E26+Admin!E56+Admin!E86+Admin!E116+Admin!E146+Admin!E176+Admin!E206+Admin!E236</f>
        <v>124997.83958333332</v>
      </c>
      <c r="C204" s="115">
        <f>Admin!F26+Admin!F56+Admin!F86+Admin!F116+Admin!F146+Admin!F176+Admin!F206+Admin!F236</f>
        <v>0</v>
      </c>
      <c r="D204" s="115">
        <f t="shared" si="25"/>
        <v>3316286.4904166656</v>
      </c>
      <c r="E204" s="115">
        <f t="shared" si="26"/>
        <v>2471745.7699999996</v>
      </c>
    </row>
    <row r="205" spans="1:7" ht="15.5" x14ac:dyDescent="0.35">
      <c r="A205" s="2">
        <v>46204</v>
      </c>
      <c r="B205" s="115">
        <f>Admin!E27+Admin!E57+Admin!E87+Admin!E117+Admin!E147+Admin!E177+Admin!E207+Admin!E237</f>
        <v>124997.83958333332</v>
      </c>
      <c r="C205" s="115">
        <f>Admin!F27+Admin!F57+Admin!F87+Admin!F117+Admin!F147+Admin!F177+Admin!F207+Admin!F237</f>
        <v>0</v>
      </c>
      <c r="D205" s="115">
        <f t="shared" si="25"/>
        <v>3441284.3299999987</v>
      </c>
      <c r="E205" s="115">
        <f t="shared" si="26"/>
        <v>2471745.7699999996</v>
      </c>
    </row>
    <row r="206" spans="1:7" x14ac:dyDescent="0.35">
      <c r="A206" s="63" t="s">
        <v>13</v>
      </c>
      <c r="B206" s="58">
        <f>SUM(B182:B205)</f>
        <v>3441284.3299999987</v>
      </c>
      <c r="C206" s="58">
        <f>SUM(C182:C205)</f>
        <v>2471745.7699999996</v>
      </c>
      <c r="D206" s="95">
        <f>D205</f>
        <v>3441284.3299999987</v>
      </c>
      <c r="E206" s="95">
        <f>E205</f>
        <v>2471745.7699999996</v>
      </c>
      <c r="G206" s="33"/>
    </row>
    <row r="207" spans="1:7" x14ac:dyDescent="0.35">
      <c r="A207" s="28"/>
      <c r="B207" s="121"/>
      <c r="C207" s="115"/>
      <c r="D207" s="115"/>
      <c r="E207" s="115"/>
    </row>
    <row r="208" spans="1:7" x14ac:dyDescent="0.35">
      <c r="A208" s="28"/>
      <c r="B208" s="121"/>
      <c r="C208" s="115"/>
      <c r="D208" s="115"/>
      <c r="E208" s="115"/>
    </row>
    <row r="209" spans="1:8" x14ac:dyDescent="0.35">
      <c r="A209" s="191" t="s">
        <v>41</v>
      </c>
      <c r="B209" s="191"/>
      <c r="C209" s="191"/>
      <c r="D209" s="191"/>
      <c r="E209" s="191"/>
      <c r="F209" s="191"/>
      <c r="G209" s="98"/>
    </row>
    <row r="210" spans="1:8" ht="29" x14ac:dyDescent="0.35">
      <c r="A210" s="99"/>
      <c r="B210" s="99" t="s">
        <v>43</v>
      </c>
      <c r="C210" s="99" t="s">
        <v>52</v>
      </c>
      <c r="D210" s="99" t="s">
        <v>44</v>
      </c>
      <c r="E210" s="99" t="s">
        <v>42</v>
      </c>
      <c r="F210" s="99" t="s">
        <v>45</v>
      </c>
      <c r="G210" s="99" t="s">
        <v>46</v>
      </c>
      <c r="H210" s="33"/>
    </row>
    <row r="211" spans="1:8" x14ac:dyDescent="0.35">
      <c r="A211" t="s">
        <v>47</v>
      </c>
      <c r="B211" s="96" t="s">
        <v>50</v>
      </c>
      <c r="C211" s="5">
        <f>96741000*0.8</f>
        <v>77392800</v>
      </c>
      <c r="D211" s="33">
        <f>B27+B56+B86+B146+(B177*0.8)+(B206*0.8)+Buyouts!E28+Buyouts!J28+Buyouts!E58+Buyouts!J58+Buyouts!E88+Buyouts!J88+Buyouts!E118+Buyouts!J118+Buyouts!E179+Buyouts!J179+Buyouts!E209+Buyouts!J209+Buyouts!E239+Buyouts!J239</f>
        <v>85336573.321142867</v>
      </c>
      <c r="E211" s="97">
        <f>D211/96741000</f>
        <v>0.88211382269299332</v>
      </c>
      <c r="F211" s="5">
        <f>B28+B57+B87+B147+(B178*0.8)+(C206*0.8)+(Buyouts!F28+Buyouts!K28+Buyouts!F58+Buyouts!K58+Buyouts!F88+Buyouts!K88+Buyouts!F118+Buyouts!K118+Buyouts!F149+Buyouts!K149+Buyouts!F179+Buyouts!K179+Buyouts!F209+Buyouts!K209+Buyouts!F239+Buyouts!K239)</f>
        <v>55191642.679999992</v>
      </c>
      <c r="G211" s="97">
        <f>F211/C211</f>
        <v>0.71313665715673802</v>
      </c>
      <c r="H211" s="33"/>
    </row>
    <row r="212" spans="1:8" x14ac:dyDescent="0.35">
      <c r="A212" t="s">
        <v>48</v>
      </c>
      <c r="B212" s="97" t="s">
        <v>49</v>
      </c>
      <c r="C212" s="5">
        <f>96741000*0.2</f>
        <v>19348200</v>
      </c>
      <c r="D212" s="33">
        <f>(B177*0.2)+(B206*0.2)+Buyouts!E269+Buyouts!J269+Buyouts!E299+Buyouts!J299+Buyouts!E329+Buyouts!J329+Buyouts!E359+Buyouts!J359</f>
        <v>1743606.4059999997</v>
      </c>
      <c r="E212" s="97">
        <f>D212/96741000</f>
        <v>1.8023448238078991E-2</v>
      </c>
      <c r="F212" s="5">
        <f>(B178*0.2)+Buyouts!F269+Buyouts!K269+Buyouts!F299+Buyouts!K299+Buyouts!F329+Buyouts!K329+Buyouts!F359+Buyouts!K359</f>
        <v>966910.89600000007</v>
      </c>
      <c r="G212" s="97">
        <f>F212/96741000</f>
        <v>9.9948408224020853E-3</v>
      </c>
    </row>
    <row r="213" spans="1:8" x14ac:dyDescent="0.35">
      <c r="A213" t="s">
        <v>51</v>
      </c>
      <c r="B213" t="s">
        <v>53</v>
      </c>
      <c r="C213" s="33">
        <f>(96741000-B206)*0.7</f>
        <v>65309800.968999997</v>
      </c>
      <c r="D213" s="33">
        <f>B27+B56+B86+B146+Buyouts!E28+Buyouts!J28+Buyouts!E58+Buyouts!J58+Buyouts!E88+Buyouts!J88+Buyouts!E118+Buyouts!J118</f>
        <v>78710572.857142866</v>
      </c>
      <c r="E213" s="97">
        <f>D213/96741000</f>
        <v>0.81362165841931411</v>
      </c>
      <c r="F213" s="33">
        <f>B28+B57+B87+B147+Buyouts!F28+Buyouts!K28+Buyouts!F58+Buyouts!K58+Buyouts!F88+Buyouts!K88+Buyouts!F118+Buyouts!K118+Buyouts!F149+Buyouts!K149</f>
        <v>49690079.639999993</v>
      </c>
      <c r="G213" s="97">
        <f>F213/C213</f>
        <v>0.76083648859358688</v>
      </c>
    </row>
    <row r="214" spans="1:8" x14ac:dyDescent="0.35">
      <c r="A214" t="s">
        <v>54</v>
      </c>
      <c r="B214" t="s">
        <v>55</v>
      </c>
      <c r="C214" s="5">
        <f>96741000*0.05</f>
        <v>4837050</v>
      </c>
      <c r="D214" s="33">
        <f>D206</f>
        <v>3441284.3299999987</v>
      </c>
      <c r="E214" s="97">
        <f>D214/96741000</f>
        <v>3.5572139320453569E-2</v>
      </c>
      <c r="F214" s="33">
        <f>Admin!F28+Admin!F58+Admin!F88</f>
        <v>2018390.5899999999</v>
      </c>
      <c r="G214" s="97">
        <f>F214/96740000</f>
        <v>2.0864074736406862E-2</v>
      </c>
    </row>
    <row r="215" spans="1:8" x14ac:dyDescent="0.35">
      <c r="C215" s="33"/>
      <c r="D215" s="33"/>
      <c r="E215" s="33"/>
    </row>
    <row r="216" spans="1:8" x14ac:dyDescent="0.35">
      <c r="C216" s="33"/>
      <c r="E216" s="192"/>
      <c r="F216" s="192"/>
    </row>
    <row r="217" spans="1:8" x14ac:dyDescent="0.35">
      <c r="B217" s="115"/>
      <c r="C217" s="115"/>
      <c r="D217" s="33"/>
      <c r="E217" s="190"/>
      <c r="F217" s="190"/>
    </row>
    <row r="218" spans="1:8" x14ac:dyDescent="0.35">
      <c r="B218" s="115"/>
      <c r="C218" s="115"/>
      <c r="D218" s="33"/>
      <c r="E218" s="190"/>
      <c r="F218" s="190"/>
    </row>
    <row r="219" spans="1:8" x14ac:dyDescent="0.35">
      <c r="B219" s="115"/>
      <c r="C219" s="115"/>
      <c r="D219" s="33"/>
      <c r="E219" s="190"/>
      <c r="F219" s="190"/>
    </row>
    <row r="220" spans="1:8" x14ac:dyDescent="0.35">
      <c r="B220" s="115"/>
      <c r="C220" s="115"/>
      <c r="D220" s="33"/>
      <c r="E220" s="190"/>
      <c r="F220" s="190"/>
    </row>
    <row r="221" spans="1:8" x14ac:dyDescent="0.35">
      <c r="B221" s="121"/>
      <c r="C221" s="121"/>
      <c r="D221" s="47"/>
    </row>
    <row r="222" spans="1:8" x14ac:dyDescent="0.35">
      <c r="D222" s="47"/>
    </row>
  </sheetData>
  <mergeCells count="6">
    <mergeCell ref="E220:F220"/>
    <mergeCell ref="A209:F209"/>
    <mergeCell ref="E216:F216"/>
    <mergeCell ref="E217:F217"/>
    <mergeCell ref="E218:F218"/>
    <mergeCell ref="E219:F219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FB46-CF82-4726-83BB-1CEB518215B9}">
  <dimension ref="A2:BC300"/>
  <sheetViews>
    <sheetView zoomScale="70" zoomScaleNormal="70" workbookViewId="0">
      <selection activeCell="I290" sqref="I290"/>
    </sheetView>
  </sheetViews>
  <sheetFormatPr defaultRowHeight="14.5" x14ac:dyDescent="0.35"/>
  <cols>
    <col min="3" max="3" width="12.26953125" customWidth="1"/>
    <col min="4" max="4" width="13.453125" customWidth="1"/>
    <col min="5" max="5" width="20.26953125" bestFit="1" customWidth="1"/>
    <col min="6" max="6" width="19.54296875" bestFit="1" customWidth="1"/>
    <col min="7" max="7" width="20.26953125" bestFit="1" customWidth="1"/>
    <col min="8" max="8" width="19.54296875" bestFit="1" customWidth="1"/>
    <col min="9" max="9" width="14" bestFit="1" customWidth="1"/>
    <col min="10" max="11" width="17.26953125" bestFit="1" customWidth="1"/>
    <col min="12" max="12" width="18.1796875" bestFit="1" customWidth="1"/>
    <col min="13" max="13" width="17.26953125" bestFit="1" customWidth="1"/>
    <col min="14" max="14" width="11.1796875" customWidth="1"/>
    <col min="15" max="15" width="19.1796875" bestFit="1" customWidth="1"/>
    <col min="16" max="16" width="16.7265625" bestFit="1" customWidth="1"/>
    <col min="17" max="18" width="21.26953125" customWidth="1"/>
    <col min="19" max="19" width="14" bestFit="1" customWidth="1"/>
    <col min="20" max="20" width="20.1796875" bestFit="1" customWidth="1"/>
    <col min="21" max="21" width="21.54296875" bestFit="1" customWidth="1"/>
    <col min="22" max="22" width="21" bestFit="1" customWidth="1"/>
    <col min="23" max="23" width="21.54296875" bestFit="1" customWidth="1"/>
    <col min="24" max="24" width="17.453125" customWidth="1"/>
    <col min="25" max="25" width="19.1796875" customWidth="1"/>
    <col min="26" max="26" width="16.7265625" bestFit="1" customWidth="1"/>
    <col min="27" max="27" width="16.81640625" customWidth="1"/>
    <col min="28" max="28" width="20.453125" customWidth="1"/>
    <col min="29" max="29" width="20.81640625" customWidth="1"/>
    <col min="30" max="30" width="13.81640625" customWidth="1"/>
    <col min="31" max="31" width="23.81640625" customWidth="1"/>
    <col min="32" max="32" width="14" bestFit="1" customWidth="1"/>
  </cols>
  <sheetData>
    <row r="2" spans="1:47" x14ac:dyDescent="0.35">
      <c r="A2" s="214" t="s">
        <v>62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</row>
    <row r="3" spans="1:47" x14ac:dyDescent="0.35">
      <c r="A3" s="206" t="s">
        <v>0</v>
      </c>
      <c r="B3" s="206"/>
      <c r="C3" s="206"/>
      <c r="D3" s="206"/>
      <c r="E3" s="205" t="s">
        <v>18</v>
      </c>
      <c r="F3" s="205"/>
      <c r="G3" s="205"/>
      <c r="H3" s="205"/>
      <c r="I3" s="205"/>
      <c r="J3" s="205" t="s">
        <v>17</v>
      </c>
      <c r="K3" s="205"/>
      <c r="L3" s="205"/>
      <c r="M3" s="205"/>
      <c r="N3" s="205"/>
      <c r="O3" s="205" t="s">
        <v>56</v>
      </c>
      <c r="P3" s="205"/>
      <c r="Q3" s="205"/>
      <c r="R3" s="205"/>
      <c r="S3" s="205"/>
      <c r="T3" s="202"/>
      <c r="U3" s="203"/>
    </row>
    <row r="4" spans="1:47" ht="43.5" x14ac:dyDescent="0.35">
      <c r="A4" s="79" t="s">
        <v>1</v>
      </c>
      <c r="B4" s="79" t="s">
        <v>2</v>
      </c>
      <c r="C4" s="79" t="s">
        <v>3</v>
      </c>
      <c r="D4" s="80" t="s">
        <v>9</v>
      </c>
      <c r="E4" s="81" t="s">
        <v>4</v>
      </c>
      <c r="F4" s="82" t="s">
        <v>6</v>
      </c>
      <c r="G4" s="82" t="s">
        <v>5</v>
      </c>
      <c r="H4" s="82" t="s">
        <v>7</v>
      </c>
      <c r="I4" s="83" t="s">
        <v>8</v>
      </c>
      <c r="J4" s="84" t="s">
        <v>4</v>
      </c>
      <c r="K4" s="85" t="s">
        <v>6</v>
      </c>
      <c r="L4" s="85" t="s">
        <v>5</v>
      </c>
      <c r="M4" s="85" t="s">
        <v>7</v>
      </c>
      <c r="N4" s="86" t="s">
        <v>8</v>
      </c>
      <c r="O4" s="84" t="s">
        <v>4</v>
      </c>
      <c r="P4" s="85" t="s">
        <v>6</v>
      </c>
      <c r="Q4" s="85" t="s">
        <v>5</v>
      </c>
      <c r="R4" s="85" t="s">
        <v>7</v>
      </c>
      <c r="S4" s="86" t="s">
        <v>8</v>
      </c>
      <c r="T4" s="87" t="s">
        <v>10</v>
      </c>
      <c r="U4" s="88" t="s">
        <v>11</v>
      </c>
    </row>
    <row r="5" spans="1:47" ht="15.5" x14ac:dyDescent="0.35">
      <c r="A5" s="64">
        <v>2020</v>
      </c>
      <c r="B5" s="64">
        <v>4</v>
      </c>
      <c r="C5" s="65">
        <v>44105</v>
      </c>
      <c r="D5" s="65">
        <v>44196</v>
      </c>
      <c r="E5" s="66">
        <v>0</v>
      </c>
      <c r="F5" s="66">
        <v>0</v>
      </c>
      <c r="G5" s="66">
        <v>0</v>
      </c>
      <c r="H5" s="66">
        <v>0</v>
      </c>
      <c r="I5" s="67">
        <v>0</v>
      </c>
      <c r="J5" s="66">
        <v>0</v>
      </c>
      <c r="K5" s="66">
        <v>0</v>
      </c>
      <c r="L5" s="66">
        <v>0</v>
      </c>
      <c r="M5" s="66">
        <v>0</v>
      </c>
      <c r="N5" s="67">
        <v>0</v>
      </c>
      <c r="O5" s="66">
        <v>0</v>
      </c>
      <c r="P5" s="66">
        <v>0</v>
      </c>
      <c r="Q5" s="66">
        <v>0</v>
      </c>
      <c r="R5" s="66">
        <v>0</v>
      </c>
      <c r="S5" s="67">
        <v>0</v>
      </c>
      <c r="T5" s="68">
        <v>0</v>
      </c>
      <c r="U5" s="69">
        <v>0</v>
      </c>
    </row>
    <row r="6" spans="1:47" ht="15.5" x14ac:dyDescent="0.35">
      <c r="A6" s="64">
        <v>2021</v>
      </c>
      <c r="B6" s="64">
        <v>1</v>
      </c>
      <c r="C6" s="65">
        <v>44197</v>
      </c>
      <c r="D6" s="65">
        <v>44286</v>
      </c>
      <c r="E6" s="66">
        <v>0</v>
      </c>
      <c r="F6" s="66">
        <v>0</v>
      </c>
      <c r="G6" s="66">
        <v>0</v>
      </c>
      <c r="H6" s="66">
        <v>0</v>
      </c>
      <c r="I6" s="67">
        <v>0</v>
      </c>
      <c r="J6" s="66">
        <v>0</v>
      </c>
      <c r="K6" s="66">
        <v>0</v>
      </c>
      <c r="L6" s="66">
        <v>0</v>
      </c>
      <c r="M6" s="66">
        <v>0</v>
      </c>
      <c r="N6" s="67">
        <v>0</v>
      </c>
      <c r="O6" s="66">
        <v>0</v>
      </c>
      <c r="P6" s="66">
        <v>0</v>
      </c>
      <c r="Q6" s="66">
        <v>0</v>
      </c>
      <c r="R6" s="66">
        <v>0</v>
      </c>
      <c r="S6" s="67">
        <v>0</v>
      </c>
      <c r="T6" s="68">
        <v>0</v>
      </c>
      <c r="U6" s="69">
        <v>0</v>
      </c>
    </row>
    <row r="7" spans="1:47" s="108" customFormat="1" ht="15.5" x14ac:dyDescent="0.35">
      <c r="A7" s="89">
        <v>2021</v>
      </c>
      <c r="B7" s="89">
        <v>2</v>
      </c>
      <c r="C7" s="90">
        <v>44287</v>
      </c>
      <c r="D7" s="90">
        <v>44377</v>
      </c>
      <c r="E7" s="100">
        <f>$E$29/12</f>
        <v>8587.6883333333335</v>
      </c>
      <c r="F7" s="92">
        <v>0</v>
      </c>
      <c r="G7" s="92">
        <f>E7</f>
        <v>8587.6883333333335</v>
      </c>
      <c r="H7" s="92">
        <f>SUM(F7+0)</f>
        <v>0</v>
      </c>
      <c r="I7" s="101">
        <v>0</v>
      </c>
      <c r="J7" s="102">
        <f>$J$29/12</f>
        <v>500</v>
      </c>
      <c r="K7" s="103">
        <v>0</v>
      </c>
      <c r="L7" s="104">
        <f>J7</f>
        <v>500</v>
      </c>
      <c r="M7" s="103">
        <f>SUM(K7+0)</f>
        <v>0</v>
      </c>
      <c r="N7" s="105">
        <v>0</v>
      </c>
      <c r="O7" s="102">
        <v>0</v>
      </c>
      <c r="P7" s="103">
        <v>0</v>
      </c>
      <c r="Q7" s="104">
        <f>O7</f>
        <v>0</v>
      </c>
      <c r="R7" s="103">
        <f>SUM(P7+0)</f>
        <v>0</v>
      </c>
      <c r="S7" s="105">
        <v>0</v>
      </c>
      <c r="T7" s="106">
        <v>0</v>
      </c>
      <c r="U7" s="107">
        <v>0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ht="15.5" x14ac:dyDescent="0.35">
      <c r="A8" s="64">
        <v>2021</v>
      </c>
      <c r="B8" s="64">
        <v>3</v>
      </c>
      <c r="C8" s="65">
        <v>44378</v>
      </c>
      <c r="D8" s="65">
        <v>44469</v>
      </c>
      <c r="E8" s="100">
        <f t="shared" ref="E8:E18" si="0">$E$29/12</f>
        <v>8587.6883333333335</v>
      </c>
      <c r="F8" s="73"/>
      <c r="G8" s="73">
        <f t="shared" ref="G8:G28" si="1">G7+E8</f>
        <v>17175.376666666667</v>
      </c>
      <c r="H8" s="73">
        <f t="shared" ref="H8:H27" si="2">SUM(H7+F8)</f>
        <v>0</v>
      </c>
      <c r="I8" s="74">
        <v>0</v>
      </c>
      <c r="J8" s="102">
        <f t="shared" ref="J8:J18" si="3">$J$29/12</f>
        <v>500</v>
      </c>
      <c r="K8" s="76"/>
      <c r="L8" s="76">
        <f t="shared" ref="L8:L28" si="4">L7+J8</f>
        <v>1000</v>
      </c>
      <c r="M8" s="76">
        <f t="shared" ref="M8:M28" si="5">SUM(M7+K8)</f>
        <v>0</v>
      </c>
      <c r="N8" s="78">
        <v>0</v>
      </c>
      <c r="O8" s="75">
        <v>0</v>
      </c>
      <c r="P8" s="76"/>
      <c r="Q8" s="76">
        <f t="shared" ref="Q8:Q28" si="6">Q7+O8</f>
        <v>0</v>
      </c>
      <c r="R8" s="76">
        <f t="shared" ref="R8:R28" si="7">SUM(R7+P8)</f>
        <v>0</v>
      </c>
      <c r="S8" s="78">
        <v>0</v>
      </c>
      <c r="T8" s="68">
        <v>0</v>
      </c>
      <c r="U8" s="69">
        <v>0</v>
      </c>
    </row>
    <row r="9" spans="1:47" ht="15.5" x14ac:dyDescent="0.35">
      <c r="A9" s="64">
        <v>2022</v>
      </c>
      <c r="B9" s="64">
        <v>4</v>
      </c>
      <c r="C9" s="65">
        <v>44470</v>
      </c>
      <c r="D9" s="65">
        <v>44561</v>
      </c>
      <c r="E9" s="100">
        <f t="shared" si="0"/>
        <v>8587.6883333333335</v>
      </c>
      <c r="F9" s="73"/>
      <c r="G9" s="73">
        <f t="shared" si="1"/>
        <v>25763.065000000002</v>
      </c>
      <c r="H9" s="73">
        <f t="shared" si="2"/>
        <v>0</v>
      </c>
      <c r="I9" s="74">
        <f t="shared" ref="I9:I25" si="8">H9/G9</f>
        <v>0</v>
      </c>
      <c r="J9" s="102">
        <f t="shared" si="3"/>
        <v>500</v>
      </c>
      <c r="K9" s="76"/>
      <c r="L9" s="76">
        <f t="shared" si="4"/>
        <v>1500</v>
      </c>
      <c r="M9" s="76">
        <f t="shared" si="5"/>
        <v>0</v>
      </c>
      <c r="N9" s="78">
        <f t="shared" ref="N9:N29" si="9">M9/L9</f>
        <v>0</v>
      </c>
      <c r="O9" s="75">
        <v>0</v>
      </c>
      <c r="P9" s="76">
        <v>0</v>
      </c>
      <c r="Q9" s="76">
        <f t="shared" si="6"/>
        <v>0</v>
      </c>
      <c r="R9" s="76">
        <f t="shared" si="7"/>
        <v>0</v>
      </c>
      <c r="S9" s="78">
        <v>0</v>
      </c>
      <c r="T9" s="68">
        <v>0</v>
      </c>
      <c r="U9" s="69">
        <v>0</v>
      </c>
    </row>
    <row r="10" spans="1:47" ht="15.5" x14ac:dyDescent="0.35">
      <c r="A10" s="64">
        <v>2022</v>
      </c>
      <c r="B10" s="64">
        <v>1</v>
      </c>
      <c r="C10" s="65">
        <v>44562</v>
      </c>
      <c r="D10" s="65">
        <v>44651</v>
      </c>
      <c r="E10" s="100">
        <f t="shared" si="0"/>
        <v>8587.6883333333335</v>
      </c>
      <c r="F10" s="73"/>
      <c r="G10" s="73">
        <f>G9+E10</f>
        <v>34350.753333333334</v>
      </c>
      <c r="H10" s="73">
        <f t="shared" si="2"/>
        <v>0</v>
      </c>
      <c r="I10" s="74">
        <f t="shared" si="8"/>
        <v>0</v>
      </c>
      <c r="J10" s="102">
        <f t="shared" si="3"/>
        <v>500</v>
      </c>
      <c r="K10" s="76">
        <v>1456</v>
      </c>
      <c r="L10" s="76">
        <f t="shared" si="4"/>
        <v>2000</v>
      </c>
      <c r="M10" s="76">
        <f t="shared" si="5"/>
        <v>1456</v>
      </c>
      <c r="N10" s="78">
        <f t="shared" si="9"/>
        <v>0.72799999999999998</v>
      </c>
      <c r="O10" s="75">
        <v>0</v>
      </c>
      <c r="P10" s="76">
        <v>0</v>
      </c>
      <c r="Q10" s="76">
        <f t="shared" si="6"/>
        <v>0</v>
      </c>
      <c r="R10" s="76">
        <f t="shared" si="7"/>
        <v>0</v>
      </c>
      <c r="S10" s="78">
        <v>0</v>
      </c>
      <c r="T10" s="68">
        <v>0</v>
      </c>
      <c r="U10" s="69">
        <v>0</v>
      </c>
    </row>
    <row r="11" spans="1:47" ht="15.5" x14ac:dyDescent="0.35">
      <c r="A11" s="64">
        <v>2022</v>
      </c>
      <c r="B11" s="64">
        <v>2</v>
      </c>
      <c r="C11" s="65">
        <v>44652</v>
      </c>
      <c r="D11" s="65">
        <v>44742</v>
      </c>
      <c r="E11" s="100">
        <f t="shared" si="0"/>
        <v>8587.6883333333335</v>
      </c>
      <c r="F11" s="73"/>
      <c r="G11" s="73">
        <f t="shared" si="1"/>
        <v>42938.441666666666</v>
      </c>
      <c r="H11" s="73">
        <f t="shared" si="2"/>
        <v>0</v>
      </c>
      <c r="I11" s="74">
        <f t="shared" si="8"/>
        <v>0</v>
      </c>
      <c r="J11" s="102">
        <f t="shared" si="3"/>
        <v>500</v>
      </c>
      <c r="K11" s="76"/>
      <c r="L11" s="76">
        <f t="shared" si="4"/>
        <v>2500</v>
      </c>
      <c r="M11" s="76">
        <f t="shared" si="5"/>
        <v>1456</v>
      </c>
      <c r="N11" s="78">
        <f t="shared" si="9"/>
        <v>0.58240000000000003</v>
      </c>
      <c r="O11" s="75">
        <v>0</v>
      </c>
      <c r="P11" s="76">
        <v>0</v>
      </c>
      <c r="Q11" s="76">
        <f t="shared" si="6"/>
        <v>0</v>
      </c>
      <c r="R11" s="76">
        <f t="shared" si="7"/>
        <v>0</v>
      </c>
      <c r="S11" s="78">
        <v>0</v>
      </c>
      <c r="T11" s="68">
        <v>0</v>
      </c>
      <c r="U11" s="69">
        <v>0</v>
      </c>
    </row>
    <row r="12" spans="1:47" ht="15.5" x14ac:dyDescent="0.35">
      <c r="A12" s="64">
        <v>2022</v>
      </c>
      <c r="B12" s="64">
        <v>3</v>
      </c>
      <c r="C12" s="65">
        <v>44743</v>
      </c>
      <c r="D12" s="65">
        <v>44834</v>
      </c>
      <c r="E12" s="100">
        <f t="shared" si="0"/>
        <v>8587.6883333333335</v>
      </c>
      <c r="F12" s="73"/>
      <c r="G12" s="73">
        <f t="shared" si="1"/>
        <v>51526.13</v>
      </c>
      <c r="H12" s="73">
        <f t="shared" si="2"/>
        <v>0</v>
      </c>
      <c r="I12" s="74">
        <f t="shared" si="8"/>
        <v>0</v>
      </c>
      <c r="J12" s="102">
        <f t="shared" si="3"/>
        <v>500</v>
      </c>
      <c r="K12" s="76">
        <v>1135</v>
      </c>
      <c r="L12" s="76">
        <f t="shared" si="4"/>
        <v>3000</v>
      </c>
      <c r="M12" s="76">
        <f t="shared" si="5"/>
        <v>2591</v>
      </c>
      <c r="N12" s="78">
        <f t="shared" si="9"/>
        <v>0.86366666666666669</v>
      </c>
      <c r="O12" s="75">
        <v>0</v>
      </c>
      <c r="P12" s="76">
        <v>0</v>
      </c>
      <c r="Q12" s="76">
        <f t="shared" si="6"/>
        <v>0</v>
      </c>
      <c r="R12" s="76">
        <f t="shared" si="7"/>
        <v>0</v>
      </c>
      <c r="S12" s="78">
        <v>0</v>
      </c>
      <c r="T12" s="68">
        <v>0</v>
      </c>
      <c r="U12" s="69">
        <v>0</v>
      </c>
    </row>
    <row r="13" spans="1:47" ht="15.5" x14ac:dyDescent="0.35">
      <c r="A13" s="64">
        <v>2022</v>
      </c>
      <c r="B13" s="64">
        <v>4</v>
      </c>
      <c r="C13" s="65">
        <v>44835</v>
      </c>
      <c r="D13" s="65">
        <v>44926</v>
      </c>
      <c r="E13" s="100">
        <f t="shared" si="0"/>
        <v>8587.6883333333335</v>
      </c>
      <c r="F13" s="73">
        <v>391</v>
      </c>
      <c r="G13" s="73">
        <f>G12+E13</f>
        <v>60113.818333333329</v>
      </c>
      <c r="H13" s="73">
        <f>SUM(H12+F13)</f>
        <v>391</v>
      </c>
      <c r="I13" s="74">
        <f t="shared" si="8"/>
        <v>6.5043281368668123E-3</v>
      </c>
      <c r="J13" s="102">
        <f t="shared" si="3"/>
        <v>500</v>
      </c>
      <c r="K13" s="76">
        <v>1000</v>
      </c>
      <c r="L13" s="76">
        <f t="shared" si="4"/>
        <v>3500</v>
      </c>
      <c r="M13" s="76">
        <f t="shared" si="5"/>
        <v>3591</v>
      </c>
      <c r="N13" s="78">
        <f t="shared" si="9"/>
        <v>1.026</v>
      </c>
      <c r="O13" s="75">
        <v>0</v>
      </c>
      <c r="P13" s="76">
        <v>0</v>
      </c>
      <c r="Q13" s="76">
        <f t="shared" si="6"/>
        <v>0</v>
      </c>
      <c r="R13" s="76">
        <f t="shared" si="7"/>
        <v>0</v>
      </c>
      <c r="S13" s="78">
        <v>0</v>
      </c>
      <c r="T13" s="68">
        <v>0</v>
      </c>
      <c r="U13" s="69">
        <v>0</v>
      </c>
    </row>
    <row r="14" spans="1:47" ht="15.5" x14ac:dyDescent="0.35">
      <c r="A14" s="64">
        <v>2023</v>
      </c>
      <c r="B14" s="64">
        <v>1</v>
      </c>
      <c r="C14" s="65">
        <v>44927</v>
      </c>
      <c r="D14" s="65">
        <v>45016</v>
      </c>
      <c r="E14" s="100">
        <f t="shared" si="0"/>
        <v>8587.6883333333335</v>
      </c>
      <c r="F14" s="73"/>
      <c r="G14" s="73">
        <f t="shared" si="1"/>
        <v>68701.506666666668</v>
      </c>
      <c r="H14" s="73">
        <f t="shared" si="2"/>
        <v>391</v>
      </c>
      <c r="I14" s="74">
        <f t="shared" si="8"/>
        <v>5.6912871197584607E-3</v>
      </c>
      <c r="J14" s="102">
        <f t="shared" si="3"/>
        <v>500</v>
      </c>
      <c r="K14" s="76"/>
      <c r="L14" s="76">
        <f t="shared" si="4"/>
        <v>4000</v>
      </c>
      <c r="M14" s="76">
        <f t="shared" si="5"/>
        <v>3591</v>
      </c>
      <c r="N14" s="78">
        <f t="shared" si="9"/>
        <v>0.89775000000000005</v>
      </c>
      <c r="O14" s="75">
        <v>0</v>
      </c>
      <c r="P14" s="76">
        <v>0</v>
      </c>
      <c r="Q14" s="76">
        <f t="shared" si="6"/>
        <v>0</v>
      </c>
      <c r="R14" s="76">
        <f t="shared" si="7"/>
        <v>0</v>
      </c>
      <c r="S14" s="78">
        <v>0</v>
      </c>
      <c r="T14" s="68">
        <v>0</v>
      </c>
      <c r="U14" s="69">
        <v>0</v>
      </c>
    </row>
    <row r="15" spans="1:47" ht="15.5" x14ac:dyDescent="0.35">
      <c r="A15" s="64">
        <v>2023</v>
      </c>
      <c r="B15" s="64">
        <v>2</v>
      </c>
      <c r="C15" s="65">
        <v>45017</v>
      </c>
      <c r="D15" s="65">
        <v>45107</v>
      </c>
      <c r="E15" s="100">
        <f t="shared" si="0"/>
        <v>8587.6883333333335</v>
      </c>
      <c r="F15" s="73">
        <v>5983</v>
      </c>
      <c r="G15" s="73">
        <f t="shared" si="1"/>
        <v>77289.195000000007</v>
      </c>
      <c r="H15" s="73">
        <f t="shared" si="2"/>
        <v>6374</v>
      </c>
      <c r="I15" s="74">
        <f t="shared" si="8"/>
        <v>8.246948360634368E-2</v>
      </c>
      <c r="J15" s="102">
        <f t="shared" si="3"/>
        <v>500</v>
      </c>
      <c r="K15" s="76">
        <v>726</v>
      </c>
      <c r="L15" s="76">
        <f t="shared" si="4"/>
        <v>4500</v>
      </c>
      <c r="M15" s="76">
        <f t="shared" si="5"/>
        <v>4317</v>
      </c>
      <c r="N15" s="78">
        <f t="shared" si="9"/>
        <v>0.95933333333333337</v>
      </c>
      <c r="O15" s="75">
        <v>0</v>
      </c>
      <c r="P15" s="76">
        <v>0</v>
      </c>
      <c r="Q15" s="76">
        <f t="shared" si="6"/>
        <v>0</v>
      </c>
      <c r="R15" s="76">
        <f t="shared" si="7"/>
        <v>0</v>
      </c>
      <c r="S15" s="78">
        <v>0</v>
      </c>
      <c r="T15" s="68">
        <v>0</v>
      </c>
      <c r="U15" s="69">
        <v>0</v>
      </c>
    </row>
    <row r="16" spans="1:47" ht="15.5" x14ac:dyDescent="0.35">
      <c r="A16" s="64">
        <v>2023</v>
      </c>
      <c r="B16" s="64">
        <v>3</v>
      </c>
      <c r="C16" s="65">
        <v>45108</v>
      </c>
      <c r="D16" s="65">
        <v>45199</v>
      </c>
      <c r="E16" s="100">
        <f t="shared" si="0"/>
        <v>8587.6883333333335</v>
      </c>
      <c r="F16" s="73"/>
      <c r="G16" s="73">
        <f t="shared" si="1"/>
        <v>85876.883333333346</v>
      </c>
      <c r="H16" s="73">
        <f t="shared" si="2"/>
        <v>6374</v>
      </c>
      <c r="I16" s="74">
        <f t="shared" si="8"/>
        <v>7.4222535245709306E-2</v>
      </c>
      <c r="J16" s="102">
        <f t="shared" si="3"/>
        <v>500</v>
      </c>
      <c r="K16" s="76"/>
      <c r="L16" s="76">
        <f t="shared" si="4"/>
        <v>5000</v>
      </c>
      <c r="M16" s="76">
        <f t="shared" si="5"/>
        <v>4317</v>
      </c>
      <c r="N16" s="78">
        <f t="shared" si="9"/>
        <v>0.86339999999999995</v>
      </c>
      <c r="O16" s="75">
        <v>0</v>
      </c>
      <c r="P16" s="76">
        <v>0</v>
      </c>
      <c r="Q16" s="76">
        <f t="shared" si="6"/>
        <v>0</v>
      </c>
      <c r="R16" s="76">
        <f t="shared" si="7"/>
        <v>0</v>
      </c>
      <c r="S16" s="78">
        <v>0</v>
      </c>
      <c r="T16" s="68">
        <v>0</v>
      </c>
      <c r="U16" s="69">
        <v>0</v>
      </c>
    </row>
    <row r="17" spans="1:37" ht="15.5" x14ac:dyDescent="0.35">
      <c r="A17" s="64">
        <v>2023</v>
      </c>
      <c r="B17" s="64">
        <v>4</v>
      </c>
      <c r="C17" s="65">
        <v>45200</v>
      </c>
      <c r="D17" s="65">
        <v>45291</v>
      </c>
      <c r="E17" s="100">
        <f t="shared" si="0"/>
        <v>8587.6883333333335</v>
      </c>
      <c r="F17" s="73">
        <v>73409.179999999993</v>
      </c>
      <c r="G17" s="73">
        <f t="shared" si="1"/>
        <v>94464.571666666685</v>
      </c>
      <c r="H17" s="73">
        <f t="shared" si="2"/>
        <v>79783.179999999993</v>
      </c>
      <c r="I17" s="74">
        <f t="shared" si="8"/>
        <v>0.84458309175981527</v>
      </c>
      <c r="J17" s="102">
        <f t="shared" si="3"/>
        <v>500</v>
      </c>
      <c r="K17" s="76">
        <v>198</v>
      </c>
      <c r="L17" s="76">
        <f t="shared" si="4"/>
        <v>5500</v>
      </c>
      <c r="M17" s="76">
        <f t="shared" si="5"/>
        <v>4515</v>
      </c>
      <c r="N17" s="78">
        <f t="shared" si="9"/>
        <v>0.82090909090909092</v>
      </c>
      <c r="O17" s="75">
        <v>0</v>
      </c>
      <c r="P17" s="76">
        <v>0</v>
      </c>
      <c r="Q17" s="76">
        <f t="shared" si="6"/>
        <v>0</v>
      </c>
      <c r="R17" s="76">
        <f t="shared" si="7"/>
        <v>0</v>
      </c>
      <c r="S17" s="78">
        <v>0</v>
      </c>
      <c r="T17" s="68">
        <v>1</v>
      </c>
      <c r="U17" s="69">
        <v>0</v>
      </c>
    </row>
    <row r="18" spans="1:37" ht="15.5" x14ac:dyDescent="0.35">
      <c r="A18" s="64">
        <v>2024</v>
      </c>
      <c r="B18" s="64">
        <v>1</v>
      </c>
      <c r="C18" s="65">
        <v>45292</v>
      </c>
      <c r="D18" s="65">
        <v>45382</v>
      </c>
      <c r="E18" s="72">
        <f t="shared" si="0"/>
        <v>8587.6883333333335</v>
      </c>
      <c r="F18" s="73">
        <v>0</v>
      </c>
      <c r="G18" s="73">
        <f t="shared" si="1"/>
        <v>103052.26000000002</v>
      </c>
      <c r="H18" s="73">
        <f t="shared" si="2"/>
        <v>79783.179999999993</v>
      </c>
      <c r="I18" s="74">
        <f t="shared" si="8"/>
        <v>0.77420116744649725</v>
      </c>
      <c r="J18" s="75">
        <f t="shared" si="3"/>
        <v>500</v>
      </c>
      <c r="K18" s="76">
        <v>0</v>
      </c>
      <c r="L18" s="76">
        <f t="shared" si="4"/>
        <v>6000</v>
      </c>
      <c r="M18" s="76">
        <f t="shared" si="5"/>
        <v>4515</v>
      </c>
      <c r="N18" s="78">
        <f t="shared" si="9"/>
        <v>0.75249999999999995</v>
      </c>
      <c r="O18" s="75">
        <v>17947.740000000002</v>
      </c>
      <c r="P18" s="76">
        <v>17947.740000000002</v>
      </c>
      <c r="Q18" s="76">
        <f>Q17+O18</f>
        <v>17947.740000000002</v>
      </c>
      <c r="R18" s="76">
        <f t="shared" si="7"/>
        <v>17947.740000000002</v>
      </c>
      <c r="S18" s="78">
        <f t="shared" ref="S18:S29" si="10">R18/Q18</f>
        <v>1</v>
      </c>
      <c r="T18" s="68">
        <v>0</v>
      </c>
      <c r="U18" s="69">
        <v>1</v>
      </c>
    </row>
    <row r="19" spans="1:37" ht="15.5" x14ac:dyDescent="0.35">
      <c r="A19" s="64">
        <v>2024</v>
      </c>
      <c r="B19" s="64">
        <v>2</v>
      </c>
      <c r="C19" s="65">
        <v>45383</v>
      </c>
      <c r="D19" s="65">
        <v>45473</v>
      </c>
      <c r="E19" s="72">
        <v>0</v>
      </c>
      <c r="F19" s="73">
        <f>13169.08+10100</f>
        <v>23269.08</v>
      </c>
      <c r="G19" s="73">
        <f t="shared" si="1"/>
        <v>103052.26000000002</v>
      </c>
      <c r="H19" s="73">
        <f t="shared" si="2"/>
        <v>103052.26</v>
      </c>
      <c r="I19" s="74">
        <f t="shared" si="8"/>
        <v>0.99999999999999967</v>
      </c>
      <c r="J19" s="75">
        <v>0</v>
      </c>
      <c r="K19" s="76">
        <v>1485</v>
      </c>
      <c r="L19" s="76">
        <f t="shared" si="4"/>
        <v>6000</v>
      </c>
      <c r="M19" s="76">
        <f t="shared" si="5"/>
        <v>6000</v>
      </c>
      <c r="N19" s="78">
        <f t="shared" si="9"/>
        <v>1</v>
      </c>
      <c r="O19" s="75">
        <v>0</v>
      </c>
      <c r="P19" s="76"/>
      <c r="Q19" s="76">
        <f t="shared" si="6"/>
        <v>17947.740000000002</v>
      </c>
      <c r="R19" s="76">
        <f t="shared" si="7"/>
        <v>17947.740000000002</v>
      </c>
      <c r="S19" s="78">
        <f t="shared" si="10"/>
        <v>1</v>
      </c>
      <c r="T19" s="68">
        <v>0</v>
      </c>
      <c r="U19" s="69">
        <v>0</v>
      </c>
    </row>
    <row r="20" spans="1:37" ht="15.5" x14ac:dyDescent="0.35">
      <c r="A20" s="64">
        <v>2024</v>
      </c>
      <c r="B20" s="64">
        <v>3</v>
      </c>
      <c r="C20" s="65">
        <v>45474</v>
      </c>
      <c r="D20" s="65">
        <v>45565</v>
      </c>
      <c r="E20" s="72">
        <v>0</v>
      </c>
      <c r="F20" s="73"/>
      <c r="G20" s="73">
        <f t="shared" si="1"/>
        <v>103052.26000000002</v>
      </c>
      <c r="H20" s="73">
        <f t="shared" si="2"/>
        <v>103052.26</v>
      </c>
      <c r="I20" s="128">
        <f t="shared" si="8"/>
        <v>0.99999999999999967</v>
      </c>
      <c r="J20" s="75">
        <v>0</v>
      </c>
      <c r="K20" s="77"/>
      <c r="L20" s="77">
        <f t="shared" si="4"/>
        <v>6000</v>
      </c>
      <c r="M20" s="77">
        <f t="shared" si="5"/>
        <v>6000</v>
      </c>
      <c r="N20" s="78">
        <f t="shared" si="9"/>
        <v>1</v>
      </c>
      <c r="O20" s="75">
        <v>0</v>
      </c>
      <c r="P20" s="77"/>
      <c r="Q20" s="77">
        <f t="shared" si="6"/>
        <v>17947.740000000002</v>
      </c>
      <c r="R20" s="77">
        <f t="shared" si="7"/>
        <v>17947.740000000002</v>
      </c>
      <c r="S20" s="78">
        <f t="shared" si="10"/>
        <v>1</v>
      </c>
      <c r="T20" s="131"/>
      <c r="U20" s="130"/>
    </row>
    <row r="21" spans="1:37" ht="15.5" x14ac:dyDescent="0.35">
      <c r="A21" s="64">
        <v>2024</v>
      </c>
      <c r="B21" s="64">
        <v>4</v>
      </c>
      <c r="C21" s="65">
        <v>45566</v>
      </c>
      <c r="D21" s="65">
        <v>45657</v>
      </c>
      <c r="E21" s="72">
        <v>0</v>
      </c>
      <c r="F21" s="73"/>
      <c r="G21" s="73">
        <f t="shared" si="1"/>
        <v>103052.26000000002</v>
      </c>
      <c r="H21" s="73">
        <f t="shared" si="2"/>
        <v>103052.26</v>
      </c>
      <c r="I21" s="128">
        <f t="shared" si="8"/>
        <v>0.99999999999999967</v>
      </c>
      <c r="J21" s="75">
        <v>0</v>
      </c>
      <c r="K21" s="77"/>
      <c r="L21" s="77">
        <f t="shared" si="4"/>
        <v>6000</v>
      </c>
      <c r="M21" s="77">
        <f t="shared" si="5"/>
        <v>6000</v>
      </c>
      <c r="N21" s="78">
        <f t="shared" si="9"/>
        <v>1</v>
      </c>
      <c r="O21" s="75">
        <v>0</v>
      </c>
      <c r="P21" s="77"/>
      <c r="Q21" s="77">
        <f t="shared" si="6"/>
        <v>17947.740000000002</v>
      </c>
      <c r="R21" s="77">
        <f t="shared" si="7"/>
        <v>17947.740000000002</v>
      </c>
      <c r="S21" s="78">
        <f t="shared" si="10"/>
        <v>1</v>
      </c>
      <c r="T21" s="131"/>
      <c r="U21" s="130"/>
    </row>
    <row r="22" spans="1:37" ht="15.5" x14ac:dyDescent="0.35">
      <c r="A22" s="64">
        <v>2025</v>
      </c>
      <c r="B22" s="64">
        <v>1</v>
      </c>
      <c r="C22" s="65">
        <v>45658</v>
      </c>
      <c r="D22" s="65">
        <v>45747</v>
      </c>
      <c r="E22" s="72">
        <v>0</v>
      </c>
      <c r="F22" s="73"/>
      <c r="G22" s="73">
        <f t="shared" si="1"/>
        <v>103052.26000000002</v>
      </c>
      <c r="H22" s="73">
        <f t="shared" si="2"/>
        <v>103052.26</v>
      </c>
      <c r="I22" s="128">
        <f t="shared" si="8"/>
        <v>0.99999999999999967</v>
      </c>
      <c r="J22" s="75">
        <v>0</v>
      </c>
      <c r="K22" s="77"/>
      <c r="L22" s="77">
        <f t="shared" si="4"/>
        <v>6000</v>
      </c>
      <c r="M22" s="77">
        <f t="shared" si="5"/>
        <v>6000</v>
      </c>
      <c r="N22" s="78">
        <f t="shared" si="9"/>
        <v>1</v>
      </c>
      <c r="O22" s="75">
        <v>0</v>
      </c>
      <c r="P22" s="77"/>
      <c r="Q22" s="77">
        <f t="shared" si="6"/>
        <v>17947.740000000002</v>
      </c>
      <c r="R22" s="77">
        <f t="shared" si="7"/>
        <v>17947.740000000002</v>
      </c>
      <c r="S22" s="78">
        <f t="shared" si="10"/>
        <v>1</v>
      </c>
      <c r="T22" s="131"/>
      <c r="U22" s="130"/>
    </row>
    <row r="23" spans="1:37" ht="15.5" x14ac:dyDescent="0.35">
      <c r="A23" s="64">
        <v>2025</v>
      </c>
      <c r="B23" s="64">
        <v>2</v>
      </c>
      <c r="C23" s="65">
        <v>45748</v>
      </c>
      <c r="D23" s="65">
        <v>45838</v>
      </c>
      <c r="E23" s="72">
        <v>0</v>
      </c>
      <c r="F23" s="73"/>
      <c r="G23" s="73">
        <f t="shared" si="1"/>
        <v>103052.26000000002</v>
      </c>
      <c r="H23" s="73">
        <f t="shared" si="2"/>
        <v>103052.26</v>
      </c>
      <c r="I23" s="128">
        <f t="shared" si="8"/>
        <v>0.99999999999999967</v>
      </c>
      <c r="J23" s="75">
        <v>0</v>
      </c>
      <c r="K23" s="77"/>
      <c r="L23" s="77">
        <f t="shared" si="4"/>
        <v>6000</v>
      </c>
      <c r="M23" s="77">
        <f t="shared" si="5"/>
        <v>6000</v>
      </c>
      <c r="N23" s="78">
        <f t="shared" si="9"/>
        <v>1</v>
      </c>
      <c r="O23" s="75">
        <v>0</v>
      </c>
      <c r="P23" s="77"/>
      <c r="Q23" s="77">
        <f t="shared" si="6"/>
        <v>17947.740000000002</v>
      </c>
      <c r="R23" s="77">
        <f t="shared" si="7"/>
        <v>17947.740000000002</v>
      </c>
      <c r="S23" s="78">
        <f t="shared" si="10"/>
        <v>1</v>
      </c>
      <c r="T23" s="131"/>
      <c r="U23" s="130"/>
    </row>
    <row r="24" spans="1:37" ht="15.5" x14ac:dyDescent="0.35">
      <c r="A24" s="64">
        <v>2025</v>
      </c>
      <c r="B24" s="64">
        <v>3</v>
      </c>
      <c r="C24" s="65">
        <v>45839</v>
      </c>
      <c r="D24" s="65">
        <v>45930</v>
      </c>
      <c r="E24" s="72">
        <v>0</v>
      </c>
      <c r="F24" s="73"/>
      <c r="G24" s="73">
        <f t="shared" si="1"/>
        <v>103052.26000000002</v>
      </c>
      <c r="H24" s="73">
        <f t="shared" si="2"/>
        <v>103052.26</v>
      </c>
      <c r="I24" s="128">
        <f t="shared" si="8"/>
        <v>0.99999999999999967</v>
      </c>
      <c r="J24" s="75">
        <v>0</v>
      </c>
      <c r="K24" s="77"/>
      <c r="L24" s="77">
        <f t="shared" si="4"/>
        <v>6000</v>
      </c>
      <c r="M24" s="77">
        <f t="shared" si="5"/>
        <v>6000</v>
      </c>
      <c r="N24" s="78">
        <f t="shared" si="9"/>
        <v>1</v>
      </c>
      <c r="O24" s="75">
        <v>0</v>
      </c>
      <c r="P24" s="77"/>
      <c r="Q24" s="77">
        <f t="shared" si="6"/>
        <v>17947.740000000002</v>
      </c>
      <c r="R24" s="77">
        <f t="shared" si="7"/>
        <v>17947.740000000002</v>
      </c>
      <c r="S24" s="78">
        <f t="shared" si="10"/>
        <v>1</v>
      </c>
      <c r="T24" s="131"/>
      <c r="U24" s="130"/>
    </row>
    <row r="25" spans="1:37" ht="15.5" x14ac:dyDescent="0.35">
      <c r="A25" s="64">
        <v>2025</v>
      </c>
      <c r="B25" s="64">
        <v>4</v>
      </c>
      <c r="C25" s="65">
        <v>45931</v>
      </c>
      <c r="D25" s="65">
        <v>46022</v>
      </c>
      <c r="E25" s="72">
        <v>0</v>
      </c>
      <c r="F25" s="73"/>
      <c r="G25" s="73">
        <f t="shared" si="1"/>
        <v>103052.26000000002</v>
      </c>
      <c r="H25" s="73">
        <f t="shared" si="2"/>
        <v>103052.26</v>
      </c>
      <c r="I25" s="128">
        <f t="shared" si="8"/>
        <v>0.99999999999999967</v>
      </c>
      <c r="J25" s="75">
        <v>0</v>
      </c>
      <c r="K25" s="77"/>
      <c r="L25" s="77">
        <f t="shared" si="4"/>
        <v>6000</v>
      </c>
      <c r="M25" s="77">
        <f t="shared" si="5"/>
        <v>6000</v>
      </c>
      <c r="N25" s="78">
        <f t="shared" si="9"/>
        <v>1</v>
      </c>
      <c r="O25" s="75">
        <v>0</v>
      </c>
      <c r="P25" s="77"/>
      <c r="Q25" s="77">
        <f t="shared" si="6"/>
        <v>17947.740000000002</v>
      </c>
      <c r="R25" s="77">
        <f t="shared" si="7"/>
        <v>17947.740000000002</v>
      </c>
      <c r="S25" s="78">
        <f t="shared" si="10"/>
        <v>1</v>
      </c>
      <c r="T25" s="131"/>
      <c r="U25" s="130"/>
    </row>
    <row r="26" spans="1:37" ht="15.5" x14ac:dyDescent="0.35">
      <c r="A26" s="64">
        <v>2026</v>
      </c>
      <c r="B26" s="64">
        <v>1</v>
      </c>
      <c r="C26" s="65">
        <v>46023</v>
      </c>
      <c r="D26" s="65">
        <v>46112</v>
      </c>
      <c r="E26" s="72">
        <v>0</v>
      </c>
      <c r="F26" s="73"/>
      <c r="G26" s="73">
        <f t="shared" si="1"/>
        <v>103052.26000000002</v>
      </c>
      <c r="H26" s="73">
        <f t="shared" si="2"/>
        <v>103052.26</v>
      </c>
      <c r="I26" s="128">
        <f>H26/G26</f>
        <v>0.99999999999999967</v>
      </c>
      <c r="J26" s="75">
        <v>0</v>
      </c>
      <c r="K26" s="77"/>
      <c r="L26" s="77">
        <f t="shared" si="4"/>
        <v>6000</v>
      </c>
      <c r="M26" s="77">
        <f t="shared" si="5"/>
        <v>6000</v>
      </c>
      <c r="N26" s="78">
        <f t="shared" si="9"/>
        <v>1</v>
      </c>
      <c r="O26" s="75">
        <v>0</v>
      </c>
      <c r="P26" s="77"/>
      <c r="Q26" s="77">
        <f t="shared" si="6"/>
        <v>17947.740000000002</v>
      </c>
      <c r="R26" s="77">
        <f t="shared" si="7"/>
        <v>17947.740000000002</v>
      </c>
      <c r="S26" s="78">
        <f t="shared" si="10"/>
        <v>1</v>
      </c>
      <c r="T26" s="131"/>
      <c r="U26" s="130"/>
    </row>
    <row r="27" spans="1:37" ht="15.5" x14ac:dyDescent="0.35">
      <c r="A27" s="64">
        <v>2026</v>
      </c>
      <c r="B27" s="64">
        <v>2</v>
      </c>
      <c r="C27" s="65">
        <v>46113</v>
      </c>
      <c r="D27" s="65">
        <v>46203</v>
      </c>
      <c r="E27" s="72">
        <v>0</v>
      </c>
      <c r="F27" s="73"/>
      <c r="G27" s="73">
        <f t="shared" si="1"/>
        <v>103052.26000000002</v>
      </c>
      <c r="H27" s="73">
        <f t="shared" si="2"/>
        <v>103052.26</v>
      </c>
      <c r="I27" s="128">
        <f t="shared" ref="I27:I28" si="11">H27/G27</f>
        <v>0.99999999999999967</v>
      </c>
      <c r="J27" s="75">
        <v>0</v>
      </c>
      <c r="K27" s="77"/>
      <c r="L27" s="77">
        <f t="shared" si="4"/>
        <v>6000</v>
      </c>
      <c r="M27" s="77">
        <f t="shared" si="5"/>
        <v>6000</v>
      </c>
      <c r="N27" s="78">
        <f t="shared" si="9"/>
        <v>1</v>
      </c>
      <c r="O27" s="75">
        <v>0</v>
      </c>
      <c r="P27" s="77"/>
      <c r="Q27" s="77">
        <f t="shared" si="6"/>
        <v>17947.740000000002</v>
      </c>
      <c r="R27" s="77">
        <f t="shared" si="7"/>
        <v>17947.740000000002</v>
      </c>
      <c r="S27" s="78">
        <f t="shared" si="10"/>
        <v>1</v>
      </c>
      <c r="T27" s="131"/>
      <c r="U27" s="130"/>
    </row>
    <row r="28" spans="1:37" ht="15.5" x14ac:dyDescent="0.35">
      <c r="A28" s="64">
        <v>2026</v>
      </c>
      <c r="B28" s="64">
        <v>3</v>
      </c>
      <c r="C28" s="65">
        <v>46204</v>
      </c>
      <c r="D28" s="65">
        <v>46295</v>
      </c>
      <c r="E28" s="72">
        <v>0</v>
      </c>
      <c r="F28" s="73"/>
      <c r="G28" s="73">
        <f t="shared" si="1"/>
        <v>103052.26000000002</v>
      </c>
      <c r="H28" s="73">
        <f>SUM(H27+F28)</f>
        <v>103052.26</v>
      </c>
      <c r="I28" s="128">
        <f t="shared" si="11"/>
        <v>0.99999999999999967</v>
      </c>
      <c r="J28" s="75">
        <v>0</v>
      </c>
      <c r="K28" s="132"/>
      <c r="L28" s="132">
        <f t="shared" si="4"/>
        <v>6000</v>
      </c>
      <c r="M28" s="132">
        <f t="shared" si="5"/>
        <v>6000</v>
      </c>
      <c r="N28" s="78">
        <f t="shared" si="9"/>
        <v>1</v>
      </c>
      <c r="O28" s="75">
        <v>0</v>
      </c>
      <c r="P28" s="132"/>
      <c r="Q28" s="132">
        <f t="shared" si="6"/>
        <v>17947.740000000002</v>
      </c>
      <c r="R28" s="132">
        <f t="shared" si="7"/>
        <v>17947.740000000002</v>
      </c>
      <c r="S28" s="78">
        <f t="shared" si="10"/>
        <v>1</v>
      </c>
      <c r="T28" s="131"/>
      <c r="U28" s="130"/>
    </row>
    <row r="29" spans="1:37" ht="15" thickBot="1" x14ac:dyDescent="0.4">
      <c r="A29" s="133" t="s">
        <v>12</v>
      </c>
      <c r="B29" s="133"/>
      <c r="C29" s="133"/>
      <c r="D29" s="134"/>
      <c r="E29" s="135">
        <f>92952.26+10100</f>
        <v>103052.26</v>
      </c>
      <c r="F29" s="136">
        <f>SUM(F5:F28)</f>
        <v>103052.26</v>
      </c>
      <c r="G29" s="136">
        <f>G28</f>
        <v>103052.26000000002</v>
      </c>
      <c r="H29" s="137">
        <f>H28</f>
        <v>103052.26</v>
      </c>
      <c r="I29" s="189">
        <f>H29/G29</f>
        <v>0.99999999999999967</v>
      </c>
      <c r="J29" s="138">
        <v>6000</v>
      </c>
      <c r="K29" s="139">
        <f>SUM(K5:K28)</f>
        <v>6000</v>
      </c>
      <c r="L29" s="140">
        <f>L28</f>
        <v>6000</v>
      </c>
      <c r="M29" s="141">
        <f>M28</f>
        <v>6000</v>
      </c>
      <c r="N29" s="142">
        <f t="shared" si="9"/>
        <v>1</v>
      </c>
      <c r="O29" s="138">
        <v>17947.740000000002</v>
      </c>
      <c r="P29" s="139">
        <f>SUM(P5:P28)</f>
        <v>17947.740000000002</v>
      </c>
      <c r="Q29" s="140">
        <f>Q28</f>
        <v>17947.740000000002</v>
      </c>
      <c r="R29" s="141">
        <f>R28</f>
        <v>17947.740000000002</v>
      </c>
      <c r="S29" s="142">
        <f t="shared" si="10"/>
        <v>1</v>
      </c>
      <c r="T29" s="143">
        <f>SUM(T5:T28)</f>
        <v>1</v>
      </c>
      <c r="U29" s="143">
        <f>SUM(U5:U28)</f>
        <v>1</v>
      </c>
    </row>
    <row r="30" spans="1:37" ht="15" thickTop="1" x14ac:dyDescent="0.35">
      <c r="A30" s="28"/>
      <c r="B30" s="28"/>
      <c r="C30" s="28"/>
      <c r="D30" s="28"/>
      <c r="E30" s="160">
        <f>E29+O29+J29</f>
        <v>127000</v>
      </c>
      <c r="F30" s="29"/>
      <c r="G30" s="29"/>
      <c r="H30" s="30"/>
      <c r="I30" s="44"/>
      <c r="J30" s="31"/>
      <c r="K30" s="31"/>
      <c r="L30" s="29"/>
      <c r="M30" s="30"/>
      <c r="N30" s="44"/>
      <c r="O30" s="28"/>
      <c r="P30" s="28"/>
    </row>
    <row r="31" spans="1:37" x14ac:dyDescent="0.35">
      <c r="A31" s="28"/>
      <c r="B31" s="28"/>
      <c r="C31" s="28"/>
      <c r="D31" s="28"/>
      <c r="E31" s="29"/>
      <c r="F31" s="29"/>
      <c r="G31" s="29"/>
      <c r="H31" s="30"/>
      <c r="I31" s="44"/>
      <c r="J31" s="31"/>
      <c r="K31" s="31"/>
      <c r="L31" s="29"/>
      <c r="M31" s="30"/>
      <c r="N31" s="44"/>
      <c r="O31" s="28"/>
      <c r="P31" s="28"/>
    </row>
    <row r="32" spans="1:37" x14ac:dyDescent="0.35">
      <c r="A32" s="198" t="s">
        <v>63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22"/>
      <c r="AG32" s="122"/>
      <c r="AH32" s="122"/>
      <c r="AI32" s="122"/>
      <c r="AJ32" s="122"/>
      <c r="AK32" s="122"/>
    </row>
    <row r="33" spans="1:51" ht="15" thickBot="1" x14ac:dyDescent="0.4">
      <c r="A33" s="202" t="s">
        <v>0</v>
      </c>
      <c r="B33" s="204"/>
      <c r="C33" s="204"/>
      <c r="D33" s="204"/>
      <c r="E33" s="193" t="s">
        <v>18</v>
      </c>
      <c r="F33" s="193"/>
      <c r="G33" s="193"/>
      <c r="H33" s="193"/>
      <c r="I33" s="194"/>
      <c r="J33" s="195" t="s">
        <v>17</v>
      </c>
      <c r="K33" s="196"/>
      <c r="L33" s="196"/>
      <c r="M33" s="196"/>
      <c r="N33" s="197"/>
      <c r="O33" s="205" t="s">
        <v>56</v>
      </c>
      <c r="P33" s="205"/>
      <c r="Q33" s="205"/>
      <c r="R33" s="205"/>
      <c r="S33" s="205"/>
      <c r="T33" s="199" t="s">
        <v>21</v>
      </c>
      <c r="U33" s="200"/>
      <c r="V33" s="200"/>
      <c r="W33" s="200"/>
      <c r="X33" s="201"/>
      <c r="Y33" s="195" t="s">
        <v>22</v>
      </c>
      <c r="Z33" s="196"/>
      <c r="AA33" s="196"/>
      <c r="AB33" s="196"/>
      <c r="AC33" s="197"/>
      <c r="AD33" s="202"/>
      <c r="AE33" s="203"/>
    </row>
    <row r="34" spans="1:51" ht="44" thickTop="1" x14ac:dyDescent="0.35">
      <c r="A34" s="7" t="s">
        <v>1</v>
      </c>
      <c r="B34" s="7" t="s">
        <v>2</v>
      </c>
      <c r="C34" s="7" t="s">
        <v>3</v>
      </c>
      <c r="D34" s="9" t="s">
        <v>9</v>
      </c>
      <c r="E34" s="19" t="s">
        <v>4</v>
      </c>
      <c r="F34" s="20" t="s">
        <v>6</v>
      </c>
      <c r="G34" s="20" t="s">
        <v>5</v>
      </c>
      <c r="H34" s="20" t="s">
        <v>7</v>
      </c>
      <c r="I34" s="23" t="s">
        <v>8</v>
      </c>
      <c r="J34" s="25" t="s">
        <v>4</v>
      </c>
      <c r="K34" s="26" t="s">
        <v>6</v>
      </c>
      <c r="L34" s="26" t="s">
        <v>5</v>
      </c>
      <c r="M34" s="26" t="s">
        <v>7</v>
      </c>
      <c r="N34" s="27" t="s">
        <v>8</v>
      </c>
      <c r="O34" s="84" t="s">
        <v>4</v>
      </c>
      <c r="P34" s="85" t="s">
        <v>6</v>
      </c>
      <c r="Q34" s="85" t="s">
        <v>5</v>
      </c>
      <c r="R34" s="85" t="s">
        <v>7</v>
      </c>
      <c r="S34" s="86" t="s">
        <v>8</v>
      </c>
      <c r="T34" s="25" t="s">
        <v>4</v>
      </c>
      <c r="U34" s="26" t="s">
        <v>6</v>
      </c>
      <c r="V34" s="26" t="s">
        <v>5</v>
      </c>
      <c r="W34" s="26" t="s">
        <v>7</v>
      </c>
      <c r="X34" s="27" t="s">
        <v>8</v>
      </c>
      <c r="Y34" s="25" t="s">
        <v>4</v>
      </c>
      <c r="Z34" s="26" t="s">
        <v>6</v>
      </c>
      <c r="AA34" s="26" t="s">
        <v>5</v>
      </c>
      <c r="AB34" s="26" t="s">
        <v>7</v>
      </c>
      <c r="AC34" s="27" t="s">
        <v>8</v>
      </c>
      <c r="AD34" s="13" t="s">
        <v>10</v>
      </c>
      <c r="AE34" s="8" t="s">
        <v>11</v>
      </c>
    </row>
    <row r="35" spans="1:51" ht="15.5" x14ac:dyDescent="0.35">
      <c r="A35" s="64">
        <v>2020</v>
      </c>
      <c r="B35" s="64">
        <v>4</v>
      </c>
      <c r="C35" s="65">
        <v>44105</v>
      </c>
      <c r="D35" s="65">
        <v>44196</v>
      </c>
      <c r="E35" s="66">
        <v>0</v>
      </c>
      <c r="F35" s="66">
        <v>0</v>
      </c>
      <c r="G35" s="66">
        <v>0</v>
      </c>
      <c r="H35" s="66">
        <v>0</v>
      </c>
      <c r="I35" s="67">
        <v>0</v>
      </c>
      <c r="J35" s="66">
        <v>0</v>
      </c>
      <c r="K35" s="66">
        <v>0</v>
      </c>
      <c r="L35" s="66">
        <v>0</v>
      </c>
      <c r="M35" s="66">
        <v>0</v>
      </c>
      <c r="N35" s="67">
        <v>0</v>
      </c>
      <c r="O35" s="66">
        <v>0</v>
      </c>
      <c r="P35" s="66">
        <v>0</v>
      </c>
      <c r="Q35" s="66">
        <v>0</v>
      </c>
      <c r="R35" s="66">
        <v>0</v>
      </c>
      <c r="S35" s="67">
        <v>0</v>
      </c>
      <c r="T35" s="66">
        <v>0</v>
      </c>
      <c r="U35" s="66">
        <v>0</v>
      </c>
      <c r="V35" s="66">
        <v>0</v>
      </c>
      <c r="W35" s="66">
        <v>0</v>
      </c>
      <c r="X35" s="67">
        <v>0</v>
      </c>
      <c r="Y35" s="66">
        <v>0</v>
      </c>
      <c r="Z35" s="66">
        <v>0</v>
      </c>
      <c r="AA35" s="66">
        <v>0</v>
      </c>
      <c r="AB35" s="66">
        <v>0</v>
      </c>
      <c r="AC35" s="67">
        <v>0</v>
      </c>
      <c r="AD35" s="68">
        <v>0</v>
      </c>
      <c r="AE35" s="69">
        <v>0</v>
      </c>
    </row>
    <row r="36" spans="1:51" ht="15.5" x14ac:dyDescent="0.35">
      <c r="A36" s="64">
        <v>2021</v>
      </c>
      <c r="B36" s="64">
        <v>1</v>
      </c>
      <c r="C36" s="65">
        <v>44197</v>
      </c>
      <c r="D36" s="65">
        <v>44286</v>
      </c>
      <c r="E36" s="66">
        <v>0</v>
      </c>
      <c r="F36" s="66">
        <v>0</v>
      </c>
      <c r="G36" s="66">
        <v>0</v>
      </c>
      <c r="H36" s="66">
        <v>0</v>
      </c>
      <c r="I36" s="67">
        <v>0</v>
      </c>
      <c r="J36" s="66">
        <v>0</v>
      </c>
      <c r="K36" s="66">
        <v>0</v>
      </c>
      <c r="L36" s="66">
        <v>0</v>
      </c>
      <c r="M36" s="66">
        <v>0</v>
      </c>
      <c r="N36" s="67">
        <v>0</v>
      </c>
      <c r="O36" s="66">
        <v>0</v>
      </c>
      <c r="P36" s="66">
        <v>0</v>
      </c>
      <c r="Q36" s="66">
        <v>0</v>
      </c>
      <c r="R36" s="66">
        <v>0</v>
      </c>
      <c r="S36" s="67">
        <v>0</v>
      </c>
      <c r="T36" s="66">
        <v>0</v>
      </c>
      <c r="U36" s="66">
        <v>0</v>
      </c>
      <c r="V36" s="66">
        <v>0</v>
      </c>
      <c r="W36" s="66">
        <v>0</v>
      </c>
      <c r="X36" s="67">
        <v>0</v>
      </c>
      <c r="Y36" s="66">
        <v>0</v>
      </c>
      <c r="Z36" s="66">
        <v>0</v>
      </c>
      <c r="AA36" s="66">
        <v>0</v>
      </c>
      <c r="AB36" s="66">
        <v>0</v>
      </c>
      <c r="AC36" s="67">
        <v>0</v>
      </c>
      <c r="AD36" s="68">
        <v>0</v>
      </c>
      <c r="AE36" s="69">
        <v>0</v>
      </c>
    </row>
    <row r="37" spans="1:51" s="108" customFormat="1" ht="15.5" x14ac:dyDescent="0.35">
      <c r="A37" s="89">
        <v>2021</v>
      </c>
      <c r="B37" s="89">
        <v>2</v>
      </c>
      <c r="C37" s="90">
        <v>44287</v>
      </c>
      <c r="D37" s="90">
        <v>44377</v>
      </c>
      <c r="E37" s="100">
        <v>0</v>
      </c>
      <c r="F37" s="92">
        <v>0</v>
      </c>
      <c r="G37" s="92">
        <f>E37</f>
        <v>0</v>
      </c>
      <c r="H37" s="92">
        <f>SUM(F37+0)</f>
        <v>0</v>
      </c>
      <c r="I37" s="101">
        <v>0</v>
      </c>
      <c r="J37" s="102">
        <v>0</v>
      </c>
      <c r="K37" s="103">
        <v>0</v>
      </c>
      <c r="L37" s="104">
        <f>J37</f>
        <v>0</v>
      </c>
      <c r="M37" s="103">
        <f>SUM(K37+0)</f>
        <v>0</v>
      </c>
      <c r="N37" s="105">
        <v>0</v>
      </c>
      <c r="O37" s="102">
        <v>0</v>
      </c>
      <c r="P37" s="103">
        <v>0</v>
      </c>
      <c r="Q37" s="104">
        <f>O37</f>
        <v>0</v>
      </c>
      <c r="R37" s="103">
        <f>SUM(P37+0)</f>
        <v>0</v>
      </c>
      <c r="S37" s="105">
        <v>0</v>
      </c>
      <c r="T37" s="102">
        <v>0</v>
      </c>
      <c r="U37" s="103">
        <v>0</v>
      </c>
      <c r="V37" s="104">
        <f>T37</f>
        <v>0</v>
      </c>
      <c r="W37" s="103">
        <f>SUM(U37+0)</f>
        <v>0</v>
      </c>
      <c r="X37" s="105">
        <v>0</v>
      </c>
      <c r="Y37" s="102">
        <v>0</v>
      </c>
      <c r="Z37" s="103">
        <v>0</v>
      </c>
      <c r="AA37" s="104">
        <f>Y37</f>
        <v>0</v>
      </c>
      <c r="AB37" s="103">
        <f>SUM(Z37+0)</f>
        <v>0</v>
      </c>
      <c r="AC37" s="105">
        <v>0</v>
      </c>
      <c r="AD37" s="106">
        <v>0</v>
      </c>
      <c r="AE37" s="107">
        <v>0</v>
      </c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ht="15.5" x14ac:dyDescent="0.35">
      <c r="A38" s="64">
        <v>2021</v>
      </c>
      <c r="B38" s="64">
        <v>3</v>
      </c>
      <c r="C38" s="65">
        <v>44378</v>
      </c>
      <c r="D38" s="65">
        <v>44469</v>
      </c>
      <c r="E38" s="72">
        <v>0</v>
      </c>
      <c r="F38" s="73">
        <v>0</v>
      </c>
      <c r="G38" s="73">
        <f t="shared" ref="G38:G39" si="12">G37+E38</f>
        <v>0</v>
      </c>
      <c r="H38" s="73">
        <f t="shared" ref="H38:H42" si="13">SUM(H37+F38)</f>
        <v>0</v>
      </c>
      <c r="I38" s="74">
        <v>0</v>
      </c>
      <c r="J38" s="75">
        <v>0</v>
      </c>
      <c r="K38" s="76"/>
      <c r="L38" s="76">
        <f>L37+J38</f>
        <v>0</v>
      </c>
      <c r="M38" s="76">
        <f>SUM(M37+K38)</f>
        <v>0</v>
      </c>
      <c r="N38" s="78">
        <v>0</v>
      </c>
      <c r="O38" s="75">
        <v>0</v>
      </c>
      <c r="P38" s="76">
        <v>0</v>
      </c>
      <c r="Q38" s="76">
        <f t="shared" ref="Q38:Q58" si="14">Q37+O38</f>
        <v>0</v>
      </c>
      <c r="R38" s="76">
        <f>SUM(R37+P38)</f>
        <v>0</v>
      </c>
      <c r="S38" s="78">
        <v>0</v>
      </c>
      <c r="T38" s="75">
        <v>0</v>
      </c>
      <c r="U38" s="76"/>
      <c r="V38" s="76">
        <f>V37+T38</f>
        <v>0</v>
      </c>
      <c r="W38" s="76">
        <f>SUM(W37+U38)</f>
        <v>0</v>
      </c>
      <c r="X38" s="78">
        <v>0</v>
      </c>
      <c r="Y38" s="75">
        <v>0</v>
      </c>
      <c r="Z38" s="76"/>
      <c r="AA38" s="76">
        <f>AA37+Y38</f>
        <v>0</v>
      </c>
      <c r="AB38" s="76">
        <f>SUM(AB37+Z38)</f>
        <v>0</v>
      </c>
      <c r="AC38" s="78">
        <v>0</v>
      </c>
      <c r="AD38" s="68">
        <v>0</v>
      </c>
      <c r="AE38" s="69">
        <v>0</v>
      </c>
    </row>
    <row r="39" spans="1:51" ht="15.5" x14ac:dyDescent="0.35">
      <c r="A39" s="64">
        <v>2022</v>
      </c>
      <c r="B39" s="64">
        <v>4</v>
      </c>
      <c r="C39" s="65">
        <v>44470</v>
      </c>
      <c r="D39" s="65">
        <v>44561</v>
      </c>
      <c r="E39" s="72">
        <v>0</v>
      </c>
      <c r="F39" s="73">
        <v>0</v>
      </c>
      <c r="G39" s="73">
        <f t="shared" si="12"/>
        <v>0</v>
      </c>
      <c r="H39" s="73">
        <f t="shared" si="13"/>
        <v>0</v>
      </c>
      <c r="I39" s="74">
        <v>0</v>
      </c>
      <c r="J39" s="75">
        <v>0</v>
      </c>
      <c r="K39" s="76">
        <v>0</v>
      </c>
      <c r="L39" s="76">
        <f t="shared" ref="L39:L42" si="15">L38+J39</f>
        <v>0</v>
      </c>
      <c r="M39" s="76">
        <f t="shared" ref="M39:M41" si="16">SUM(M38+K39)</f>
        <v>0</v>
      </c>
      <c r="N39" s="78">
        <v>0</v>
      </c>
      <c r="O39" s="75">
        <v>0</v>
      </c>
      <c r="P39" s="76">
        <v>0</v>
      </c>
      <c r="Q39" s="76">
        <f t="shared" si="14"/>
        <v>0</v>
      </c>
      <c r="R39" s="76">
        <f>SUM(R38+P39)</f>
        <v>0</v>
      </c>
      <c r="S39" s="78">
        <v>0</v>
      </c>
      <c r="T39" s="75">
        <v>0</v>
      </c>
      <c r="U39" s="76">
        <v>0</v>
      </c>
      <c r="V39" s="76">
        <f t="shared" ref="V39:V42" si="17">V38+T39</f>
        <v>0</v>
      </c>
      <c r="W39" s="76">
        <f t="shared" ref="W39:W41" si="18">SUM(W38+U39)</f>
        <v>0</v>
      </c>
      <c r="X39" s="78">
        <v>0</v>
      </c>
      <c r="Y39" s="75">
        <v>0</v>
      </c>
      <c r="Z39" s="76">
        <v>0</v>
      </c>
      <c r="AA39" s="76">
        <f t="shared" ref="AA39:AA42" si="19">AA38+Y39</f>
        <v>0</v>
      </c>
      <c r="AB39" s="76">
        <f t="shared" ref="AB39:AB41" si="20">SUM(AB38+Z39)</f>
        <v>0</v>
      </c>
      <c r="AC39" s="78">
        <v>0</v>
      </c>
      <c r="AD39" s="68">
        <v>0</v>
      </c>
      <c r="AE39" s="69">
        <v>0</v>
      </c>
    </row>
    <row r="40" spans="1:51" ht="15.5" x14ac:dyDescent="0.35">
      <c r="A40" s="64">
        <v>2022</v>
      </c>
      <c r="B40" s="64">
        <v>1</v>
      </c>
      <c r="C40" s="65">
        <v>44562</v>
      </c>
      <c r="D40" s="65">
        <v>44651</v>
      </c>
      <c r="E40" s="72">
        <v>0</v>
      </c>
      <c r="F40" s="73">
        <v>0</v>
      </c>
      <c r="G40" s="73">
        <f>G39+E40</f>
        <v>0</v>
      </c>
      <c r="H40" s="73">
        <f t="shared" si="13"/>
        <v>0</v>
      </c>
      <c r="I40" s="74">
        <v>0</v>
      </c>
      <c r="J40" s="75">
        <v>0</v>
      </c>
      <c r="K40" s="76">
        <v>0</v>
      </c>
      <c r="L40" s="76">
        <f t="shared" si="15"/>
        <v>0</v>
      </c>
      <c r="M40" s="76">
        <f t="shared" si="16"/>
        <v>0</v>
      </c>
      <c r="N40" s="78">
        <v>0</v>
      </c>
      <c r="O40" s="75">
        <v>0</v>
      </c>
      <c r="P40" s="76">
        <v>0</v>
      </c>
      <c r="Q40" s="76">
        <f t="shared" si="14"/>
        <v>0</v>
      </c>
      <c r="R40" s="76">
        <f t="shared" ref="R40:R58" si="21">SUM(R39+P40)</f>
        <v>0</v>
      </c>
      <c r="S40" s="78">
        <v>0</v>
      </c>
      <c r="T40" s="75">
        <v>0</v>
      </c>
      <c r="U40" s="76">
        <v>0</v>
      </c>
      <c r="V40" s="76">
        <f t="shared" si="17"/>
        <v>0</v>
      </c>
      <c r="W40" s="76">
        <f t="shared" si="18"/>
        <v>0</v>
      </c>
      <c r="X40" s="78">
        <v>0</v>
      </c>
      <c r="Y40" s="75">
        <v>0</v>
      </c>
      <c r="Z40" s="76">
        <v>0</v>
      </c>
      <c r="AA40" s="76">
        <f t="shared" si="19"/>
        <v>0</v>
      </c>
      <c r="AB40" s="76">
        <f t="shared" si="20"/>
        <v>0</v>
      </c>
      <c r="AC40" s="78">
        <v>0</v>
      </c>
      <c r="AD40" s="68">
        <v>0</v>
      </c>
      <c r="AE40" s="69">
        <v>0</v>
      </c>
    </row>
    <row r="41" spans="1:51" ht="15.5" x14ac:dyDescent="0.35">
      <c r="A41" s="64">
        <v>2022</v>
      </c>
      <c r="B41" s="64">
        <v>2</v>
      </c>
      <c r="C41" s="65">
        <v>44652</v>
      </c>
      <c r="D41" s="65">
        <v>44742</v>
      </c>
      <c r="E41" s="72">
        <f>$E$59/12</f>
        <v>321352.27250000002</v>
      </c>
      <c r="F41" s="73">
        <v>0</v>
      </c>
      <c r="G41" s="73">
        <f t="shared" ref="G41:G42" si="22">G40+E41</f>
        <v>321352.27250000002</v>
      </c>
      <c r="H41" s="73">
        <f t="shared" si="13"/>
        <v>0</v>
      </c>
      <c r="I41" s="74">
        <f t="shared" ref="I41:I55" si="23">H41/G41</f>
        <v>0</v>
      </c>
      <c r="J41" s="75">
        <f>$J$59/12</f>
        <v>13750</v>
      </c>
      <c r="K41" s="76"/>
      <c r="L41" s="76">
        <f t="shared" si="15"/>
        <v>13750</v>
      </c>
      <c r="M41" s="76">
        <f t="shared" si="16"/>
        <v>0</v>
      </c>
      <c r="N41" s="78">
        <f t="shared" ref="N41:N42" si="24">M41/L41</f>
        <v>0</v>
      </c>
      <c r="O41" s="75">
        <v>0</v>
      </c>
      <c r="P41" s="76">
        <v>0</v>
      </c>
      <c r="Q41" s="76">
        <f t="shared" si="14"/>
        <v>0</v>
      </c>
      <c r="R41" s="76">
        <f t="shared" si="21"/>
        <v>0</v>
      </c>
      <c r="S41" s="78">
        <v>0</v>
      </c>
      <c r="T41" s="75">
        <f>$T$59/12</f>
        <v>839162.94833333325</v>
      </c>
      <c r="U41" s="76">
        <v>0</v>
      </c>
      <c r="V41" s="76">
        <f t="shared" si="17"/>
        <v>839162.94833333325</v>
      </c>
      <c r="W41" s="76">
        <f t="shared" si="18"/>
        <v>0</v>
      </c>
      <c r="X41" s="78">
        <f t="shared" ref="X41:X42" si="25">W41/V41</f>
        <v>0</v>
      </c>
      <c r="Y41" s="75">
        <f>$Y$59/12</f>
        <v>1666.6666666666667</v>
      </c>
      <c r="Z41" s="76">
        <v>0</v>
      </c>
      <c r="AA41" s="76">
        <f t="shared" si="19"/>
        <v>1666.6666666666667</v>
      </c>
      <c r="AB41" s="76">
        <f t="shared" si="20"/>
        <v>0</v>
      </c>
      <c r="AC41" s="78">
        <f t="shared" ref="AC41:AC42" si="26">AB41/AA41</f>
        <v>0</v>
      </c>
      <c r="AD41" s="68">
        <v>0</v>
      </c>
      <c r="AE41" s="69">
        <v>0</v>
      </c>
    </row>
    <row r="42" spans="1:51" ht="15.5" x14ac:dyDescent="0.35">
      <c r="A42" s="64">
        <v>2022</v>
      </c>
      <c r="B42" s="64">
        <v>3</v>
      </c>
      <c r="C42" s="65">
        <v>44743</v>
      </c>
      <c r="D42" s="65">
        <v>44834</v>
      </c>
      <c r="E42" s="72">
        <f t="shared" ref="E42:E52" si="27">$E$59/12</f>
        <v>321352.27250000002</v>
      </c>
      <c r="F42" s="73">
        <v>0</v>
      </c>
      <c r="G42" s="73">
        <f t="shared" si="22"/>
        <v>642704.54500000004</v>
      </c>
      <c r="H42" s="73">
        <f t="shared" si="13"/>
        <v>0</v>
      </c>
      <c r="I42" s="74">
        <f t="shared" si="23"/>
        <v>0</v>
      </c>
      <c r="J42" s="75">
        <f t="shared" ref="J42:J52" si="28">$J$59/12</f>
        <v>13750</v>
      </c>
      <c r="K42" s="76">
        <v>8104</v>
      </c>
      <c r="L42" s="76">
        <f t="shared" si="15"/>
        <v>27500</v>
      </c>
      <c r="M42" s="76">
        <f>SUM(M41+K42)</f>
        <v>8104</v>
      </c>
      <c r="N42" s="78">
        <f t="shared" si="24"/>
        <v>0.29469090909090911</v>
      </c>
      <c r="O42" s="75">
        <v>0</v>
      </c>
      <c r="P42" s="76">
        <v>0</v>
      </c>
      <c r="Q42" s="76">
        <f t="shared" si="14"/>
        <v>0</v>
      </c>
      <c r="R42" s="76">
        <f t="shared" si="21"/>
        <v>0</v>
      </c>
      <c r="S42" s="78">
        <v>0</v>
      </c>
      <c r="T42" s="75">
        <f t="shared" ref="T42:T52" si="29">$T$59/12</f>
        <v>839162.94833333325</v>
      </c>
      <c r="U42" s="76">
        <v>125478</v>
      </c>
      <c r="V42" s="76">
        <f t="shared" si="17"/>
        <v>1678325.8966666665</v>
      </c>
      <c r="W42" s="76">
        <f>SUM(W41+U42)</f>
        <v>125478</v>
      </c>
      <c r="X42" s="78">
        <f t="shared" si="25"/>
        <v>7.4763787086413097E-2</v>
      </c>
      <c r="Y42" s="75">
        <f t="shared" ref="Y42:Y52" si="30">$Y$59/12</f>
        <v>1666.6666666666667</v>
      </c>
      <c r="Z42" s="76">
        <v>2315</v>
      </c>
      <c r="AA42" s="76">
        <f t="shared" si="19"/>
        <v>3333.3333333333335</v>
      </c>
      <c r="AB42" s="76">
        <f>SUM(AB41+Z42)</f>
        <v>2315</v>
      </c>
      <c r="AC42" s="78">
        <f t="shared" si="26"/>
        <v>0.69450000000000001</v>
      </c>
      <c r="AD42" s="68">
        <v>0</v>
      </c>
      <c r="AE42" s="69">
        <v>0</v>
      </c>
    </row>
    <row r="43" spans="1:51" ht="15.5" x14ac:dyDescent="0.35">
      <c r="A43" s="64">
        <v>2022</v>
      </c>
      <c r="B43" s="64">
        <v>4</v>
      </c>
      <c r="C43" s="65">
        <v>44835</v>
      </c>
      <c r="D43" s="65">
        <v>44926</v>
      </c>
      <c r="E43" s="72">
        <f t="shared" si="27"/>
        <v>321352.27250000002</v>
      </c>
      <c r="F43" s="73">
        <v>14356</v>
      </c>
      <c r="G43" s="73">
        <f>G42+E43</f>
        <v>964056.81750000012</v>
      </c>
      <c r="H43" s="73">
        <f>SUM(H42+F43)</f>
        <v>14356</v>
      </c>
      <c r="I43" s="74">
        <f t="shared" si="23"/>
        <v>1.4891238503170482E-2</v>
      </c>
      <c r="J43" s="75">
        <f t="shared" si="28"/>
        <v>13750</v>
      </c>
      <c r="K43" s="76">
        <v>11578</v>
      </c>
      <c r="L43" s="76">
        <f>L42+J43</f>
        <v>41250</v>
      </c>
      <c r="M43" s="76">
        <f>SUM(M42+K43)</f>
        <v>19682</v>
      </c>
      <c r="N43" s="78">
        <f>M43/L43</f>
        <v>0.47713939393939392</v>
      </c>
      <c r="O43" s="75">
        <v>0</v>
      </c>
      <c r="P43" s="76">
        <v>0</v>
      </c>
      <c r="Q43" s="76">
        <f t="shared" si="14"/>
        <v>0</v>
      </c>
      <c r="R43" s="76">
        <f t="shared" si="21"/>
        <v>0</v>
      </c>
      <c r="S43" s="78">
        <v>0</v>
      </c>
      <c r="T43" s="75">
        <f t="shared" si="29"/>
        <v>839162.94833333325</v>
      </c>
      <c r="U43" s="76">
        <v>437375</v>
      </c>
      <c r="V43" s="76">
        <f>V42+T43</f>
        <v>2517488.8449999997</v>
      </c>
      <c r="W43" s="76">
        <f>SUM(W42+U43)</f>
        <v>562853</v>
      </c>
      <c r="X43" s="78">
        <f>W43/V43</f>
        <v>0.22357715749878529</v>
      </c>
      <c r="Y43" s="75">
        <f t="shared" si="30"/>
        <v>1666.6666666666667</v>
      </c>
      <c r="Z43" s="76">
        <v>9263</v>
      </c>
      <c r="AA43" s="76">
        <f>AA42+Y43</f>
        <v>5000</v>
      </c>
      <c r="AB43" s="76">
        <f>SUM(AB42+Z43)</f>
        <v>11578</v>
      </c>
      <c r="AC43" s="78">
        <f>AB43/AA43</f>
        <v>2.3155999999999999</v>
      </c>
      <c r="AD43" s="68">
        <v>0</v>
      </c>
      <c r="AE43" s="69">
        <v>0</v>
      </c>
    </row>
    <row r="44" spans="1:51" ht="15.5" x14ac:dyDescent="0.35">
      <c r="A44" s="64">
        <v>2023</v>
      </c>
      <c r="B44" s="64">
        <v>1</v>
      </c>
      <c r="C44" s="65">
        <v>44927</v>
      </c>
      <c r="D44" s="65">
        <v>45016</v>
      </c>
      <c r="E44" s="72">
        <f t="shared" si="27"/>
        <v>321352.27250000002</v>
      </c>
      <c r="F44" s="73">
        <v>12099</v>
      </c>
      <c r="G44" s="73">
        <f t="shared" ref="G44:G58" si="31">G43+E44</f>
        <v>1285409.0900000001</v>
      </c>
      <c r="H44" s="73">
        <f t="shared" ref="H44:H57" si="32">SUM(H43+F44)</f>
        <v>26455</v>
      </c>
      <c r="I44" s="74">
        <f t="shared" si="23"/>
        <v>2.0580996513724668E-2</v>
      </c>
      <c r="J44" s="75">
        <f t="shared" si="28"/>
        <v>13750</v>
      </c>
      <c r="K44" s="76">
        <v>17367</v>
      </c>
      <c r="L44" s="76">
        <f>L43+J44</f>
        <v>55000</v>
      </c>
      <c r="M44" s="76">
        <f t="shared" ref="M44:M58" si="33">SUM(M43+K44)</f>
        <v>37049</v>
      </c>
      <c r="N44" s="78">
        <f t="shared" ref="N44:N58" si="34">M44/L44</f>
        <v>0.67361818181818178</v>
      </c>
      <c r="O44" s="75">
        <v>0</v>
      </c>
      <c r="P44" s="76">
        <v>0</v>
      </c>
      <c r="Q44" s="76">
        <f t="shared" si="14"/>
        <v>0</v>
      </c>
      <c r="R44" s="76">
        <f t="shared" si="21"/>
        <v>0</v>
      </c>
      <c r="S44" s="78">
        <v>0</v>
      </c>
      <c r="T44" s="75">
        <f t="shared" si="29"/>
        <v>839162.94833333325</v>
      </c>
      <c r="U44" s="76">
        <v>344015</v>
      </c>
      <c r="V44" s="76">
        <f>V43+T44</f>
        <v>3356651.793333333</v>
      </c>
      <c r="W44" s="76">
        <f t="shared" ref="W44:W58" si="35">SUM(W43+U44)</f>
        <v>906868</v>
      </c>
      <c r="X44" s="78">
        <f t="shared" ref="X44:X58" si="36">W44/V44</f>
        <v>0.27017041261209646</v>
      </c>
      <c r="Y44" s="75">
        <f t="shared" si="30"/>
        <v>1666.6666666666667</v>
      </c>
      <c r="Z44" s="76">
        <v>0</v>
      </c>
      <c r="AA44" s="76">
        <f>AA43+Y44</f>
        <v>6666.666666666667</v>
      </c>
      <c r="AB44" s="76">
        <f t="shared" ref="AB44:AB58" si="37">SUM(AB43+Z44)</f>
        <v>11578</v>
      </c>
      <c r="AC44" s="78">
        <f t="shared" ref="AC44:AC58" si="38">AB44/AA44</f>
        <v>1.7366999999999999</v>
      </c>
      <c r="AD44" s="68">
        <v>0</v>
      </c>
      <c r="AE44" s="69">
        <v>0</v>
      </c>
    </row>
    <row r="45" spans="1:51" ht="15.5" x14ac:dyDescent="0.35">
      <c r="A45" s="64">
        <v>2023</v>
      </c>
      <c r="B45" s="64">
        <v>2</v>
      </c>
      <c r="C45" s="65">
        <v>45017</v>
      </c>
      <c r="D45" s="65">
        <v>45107</v>
      </c>
      <c r="E45" s="72">
        <f t="shared" si="27"/>
        <v>321352.27250000002</v>
      </c>
      <c r="F45" s="73">
        <v>22000</v>
      </c>
      <c r="G45" s="73">
        <f t="shared" si="31"/>
        <v>1606761.3625</v>
      </c>
      <c r="H45" s="73">
        <f t="shared" si="32"/>
        <v>48455</v>
      </c>
      <c r="I45" s="74">
        <f t="shared" si="23"/>
        <v>3.0156936263769536E-2</v>
      </c>
      <c r="J45" s="75">
        <f t="shared" si="28"/>
        <v>13750</v>
      </c>
      <c r="K45" s="76">
        <v>17367</v>
      </c>
      <c r="L45" s="76">
        <f t="shared" ref="L45" si="39">L44+J45</f>
        <v>68750</v>
      </c>
      <c r="M45" s="76">
        <f t="shared" si="33"/>
        <v>54416</v>
      </c>
      <c r="N45" s="78">
        <f t="shared" si="34"/>
        <v>0.79150545454545451</v>
      </c>
      <c r="O45" s="75">
        <v>0</v>
      </c>
      <c r="P45" s="76">
        <v>0</v>
      </c>
      <c r="Q45" s="76">
        <f t="shared" si="14"/>
        <v>0</v>
      </c>
      <c r="R45" s="76">
        <f t="shared" si="21"/>
        <v>0</v>
      </c>
      <c r="S45" s="78">
        <v>0</v>
      </c>
      <c r="T45" s="75">
        <f t="shared" si="29"/>
        <v>839162.94833333325</v>
      </c>
      <c r="U45" s="76">
        <v>274412</v>
      </c>
      <c r="V45" s="76">
        <f t="shared" ref="V45" si="40">V44+T45</f>
        <v>4195814.7416666662</v>
      </c>
      <c r="W45" s="76">
        <f t="shared" si="35"/>
        <v>1181280</v>
      </c>
      <c r="X45" s="78">
        <f t="shared" si="36"/>
        <v>0.2815376923745615</v>
      </c>
      <c r="Y45" s="75">
        <f t="shared" si="30"/>
        <v>1666.6666666666667</v>
      </c>
      <c r="Z45" s="76">
        <v>0</v>
      </c>
      <c r="AA45" s="76">
        <f t="shared" ref="AA45" si="41">AA44+Y45</f>
        <v>8333.3333333333339</v>
      </c>
      <c r="AB45" s="76">
        <f t="shared" si="37"/>
        <v>11578</v>
      </c>
      <c r="AC45" s="78">
        <f t="shared" si="38"/>
        <v>1.3893599999999999</v>
      </c>
      <c r="AD45" s="68">
        <v>0</v>
      </c>
      <c r="AE45" s="69">
        <v>0</v>
      </c>
    </row>
    <row r="46" spans="1:51" ht="15.5" x14ac:dyDescent="0.35">
      <c r="A46" s="64">
        <v>2023</v>
      </c>
      <c r="B46" s="64">
        <v>3</v>
      </c>
      <c r="C46" s="65">
        <v>45108</v>
      </c>
      <c r="D46" s="65">
        <v>45199</v>
      </c>
      <c r="E46" s="72">
        <f t="shared" si="27"/>
        <v>321352.27250000002</v>
      </c>
      <c r="F46" s="73">
        <v>0</v>
      </c>
      <c r="G46" s="73">
        <f t="shared" si="31"/>
        <v>1928113.635</v>
      </c>
      <c r="H46" s="73">
        <f t="shared" si="32"/>
        <v>48455</v>
      </c>
      <c r="I46" s="74">
        <f t="shared" si="23"/>
        <v>2.5130780219807948E-2</v>
      </c>
      <c r="J46" s="75">
        <f t="shared" si="28"/>
        <v>13750</v>
      </c>
      <c r="K46" s="76">
        <v>17367</v>
      </c>
      <c r="L46" s="76">
        <f>L45+J46</f>
        <v>82500</v>
      </c>
      <c r="M46" s="76">
        <f t="shared" si="33"/>
        <v>71783</v>
      </c>
      <c r="N46" s="78">
        <f t="shared" si="34"/>
        <v>0.8700969696969697</v>
      </c>
      <c r="O46" s="75">
        <v>0</v>
      </c>
      <c r="P46" s="76">
        <v>0</v>
      </c>
      <c r="Q46" s="76">
        <f t="shared" si="14"/>
        <v>0</v>
      </c>
      <c r="R46" s="76">
        <f t="shared" si="21"/>
        <v>0</v>
      </c>
      <c r="S46" s="78">
        <v>0</v>
      </c>
      <c r="T46" s="75">
        <f t="shared" si="29"/>
        <v>839162.94833333325</v>
      </c>
      <c r="U46" s="76">
        <v>344766</v>
      </c>
      <c r="V46" s="76">
        <f>V45+T46</f>
        <v>5034977.6899999995</v>
      </c>
      <c r="W46" s="76">
        <f t="shared" si="35"/>
        <v>1526046</v>
      </c>
      <c r="X46" s="78">
        <f t="shared" si="36"/>
        <v>0.30308892987368929</v>
      </c>
      <c r="Y46" s="75">
        <f t="shared" si="30"/>
        <v>1666.6666666666667</v>
      </c>
      <c r="Z46" s="76">
        <v>0</v>
      </c>
      <c r="AA46" s="76">
        <f>AA45+Y46</f>
        <v>10000</v>
      </c>
      <c r="AB46" s="76">
        <f t="shared" si="37"/>
        <v>11578</v>
      </c>
      <c r="AC46" s="78">
        <f t="shared" si="38"/>
        <v>1.1577999999999999</v>
      </c>
      <c r="AD46" s="68">
        <v>0</v>
      </c>
      <c r="AE46" s="69">
        <v>0</v>
      </c>
    </row>
    <row r="47" spans="1:51" ht="15.5" x14ac:dyDescent="0.35">
      <c r="A47" s="64">
        <v>2023</v>
      </c>
      <c r="B47" s="64">
        <v>4</v>
      </c>
      <c r="C47" s="65">
        <v>45200</v>
      </c>
      <c r="D47" s="65">
        <v>45291</v>
      </c>
      <c r="E47" s="72">
        <f t="shared" si="27"/>
        <v>321352.27250000002</v>
      </c>
      <c r="F47" s="73">
        <v>0</v>
      </c>
      <c r="G47" s="73">
        <f t="shared" si="31"/>
        <v>2249465.9075000002</v>
      </c>
      <c r="H47" s="73">
        <f t="shared" si="32"/>
        <v>48455</v>
      </c>
      <c r="I47" s="74">
        <f t="shared" si="23"/>
        <v>2.1540668759835381E-2</v>
      </c>
      <c r="J47" s="75">
        <f t="shared" si="28"/>
        <v>13750</v>
      </c>
      <c r="K47" s="76">
        <v>0</v>
      </c>
      <c r="L47" s="76">
        <f t="shared" ref="L47:L58" si="42">L46+J47</f>
        <v>96250</v>
      </c>
      <c r="M47" s="76">
        <f t="shared" si="33"/>
        <v>71783</v>
      </c>
      <c r="N47" s="78">
        <f t="shared" si="34"/>
        <v>0.74579740259740257</v>
      </c>
      <c r="O47" s="75">
        <v>0</v>
      </c>
      <c r="P47" s="76"/>
      <c r="Q47" s="76">
        <f t="shared" si="14"/>
        <v>0</v>
      </c>
      <c r="R47" s="76">
        <f t="shared" si="21"/>
        <v>0</v>
      </c>
      <c r="S47" s="78">
        <v>0</v>
      </c>
      <c r="T47" s="75">
        <f t="shared" si="29"/>
        <v>839162.94833333325</v>
      </c>
      <c r="U47" s="76">
        <v>0</v>
      </c>
      <c r="V47" s="76">
        <f t="shared" ref="V47:V58" si="43">V46+T47</f>
        <v>5874140.6383333327</v>
      </c>
      <c r="W47" s="76">
        <f t="shared" si="35"/>
        <v>1526046</v>
      </c>
      <c r="X47" s="78">
        <f t="shared" si="36"/>
        <v>0.25979051132030512</v>
      </c>
      <c r="Y47" s="75">
        <f t="shared" si="30"/>
        <v>1666.6666666666667</v>
      </c>
      <c r="Z47" s="76">
        <v>0</v>
      </c>
      <c r="AA47" s="76">
        <f t="shared" ref="AA47:AA58" si="44">AA46+Y47</f>
        <v>11666.666666666666</v>
      </c>
      <c r="AB47" s="76">
        <f t="shared" si="37"/>
        <v>11578</v>
      </c>
      <c r="AC47" s="78">
        <f t="shared" si="38"/>
        <v>0.99240000000000006</v>
      </c>
      <c r="AD47" s="68">
        <v>0</v>
      </c>
      <c r="AE47" s="69">
        <v>0</v>
      </c>
    </row>
    <row r="48" spans="1:51" ht="15.5" x14ac:dyDescent="0.35">
      <c r="A48" s="64">
        <v>2024</v>
      </c>
      <c r="B48" s="64">
        <v>1</v>
      </c>
      <c r="C48" s="65">
        <v>45292</v>
      </c>
      <c r="D48" s="65">
        <v>45382</v>
      </c>
      <c r="E48" s="72">
        <f t="shared" si="27"/>
        <v>321352.27250000002</v>
      </c>
      <c r="F48" s="73">
        <v>0</v>
      </c>
      <c r="G48" s="73">
        <f t="shared" si="31"/>
        <v>2570818.1800000002</v>
      </c>
      <c r="H48" s="73">
        <f t="shared" si="32"/>
        <v>48455</v>
      </c>
      <c r="I48" s="74">
        <f t="shared" si="23"/>
        <v>1.8848085164855959E-2</v>
      </c>
      <c r="J48" s="75">
        <f t="shared" si="28"/>
        <v>13750</v>
      </c>
      <c r="K48" s="76">
        <v>0</v>
      </c>
      <c r="L48" s="76">
        <f t="shared" si="42"/>
        <v>110000</v>
      </c>
      <c r="M48" s="76">
        <f t="shared" si="33"/>
        <v>71783</v>
      </c>
      <c r="N48" s="78">
        <f t="shared" si="34"/>
        <v>0.6525727272727273</v>
      </c>
      <c r="O48" s="75">
        <v>0</v>
      </c>
      <c r="P48" s="76">
        <v>0</v>
      </c>
      <c r="Q48" s="76">
        <f t="shared" si="14"/>
        <v>0</v>
      </c>
      <c r="R48" s="76">
        <f>SUM(R47+P48)</f>
        <v>0</v>
      </c>
      <c r="S48" s="78" t="e">
        <f>R48/Q48</f>
        <v>#DIV/0!</v>
      </c>
      <c r="T48" s="75">
        <f t="shared" si="29"/>
        <v>839162.94833333325</v>
      </c>
      <c r="U48" s="76">
        <v>0</v>
      </c>
      <c r="V48" s="76">
        <f t="shared" si="43"/>
        <v>6713303.586666666</v>
      </c>
      <c r="W48" s="76">
        <f t="shared" si="35"/>
        <v>1526046</v>
      </c>
      <c r="X48" s="78">
        <f t="shared" si="36"/>
        <v>0.22731669740526697</v>
      </c>
      <c r="Y48" s="75">
        <f t="shared" si="30"/>
        <v>1666.6666666666667</v>
      </c>
      <c r="Z48" s="76">
        <v>0</v>
      </c>
      <c r="AA48" s="76">
        <f t="shared" si="44"/>
        <v>13333.333333333332</v>
      </c>
      <c r="AB48" s="76">
        <f t="shared" si="37"/>
        <v>11578</v>
      </c>
      <c r="AC48" s="78">
        <f t="shared" si="38"/>
        <v>0.86835000000000007</v>
      </c>
      <c r="AD48" s="68">
        <v>0</v>
      </c>
      <c r="AE48" s="69">
        <v>0</v>
      </c>
    </row>
    <row r="49" spans="1:37" ht="15.5" x14ac:dyDescent="0.35">
      <c r="A49" s="64">
        <v>2024</v>
      </c>
      <c r="B49" s="64">
        <v>2</v>
      </c>
      <c r="C49" s="65">
        <v>45383</v>
      </c>
      <c r="D49" s="65">
        <v>45473</v>
      </c>
      <c r="E49" s="72">
        <f t="shared" si="27"/>
        <v>321352.27250000002</v>
      </c>
      <c r="F49" s="73">
        <v>0</v>
      </c>
      <c r="G49" s="73">
        <f t="shared" si="31"/>
        <v>2892170.4525000001</v>
      </c>
      <c r="H49" s="73">
        <f t="shared" si="32"/>
        <v>48455</v>
      </c>
      <c r="I49" s="74">
        <f t="shared" si="23"/>
        <v>1.6753853479871964E-2</v>
      </c>
      <c r="J49" s="75">
        <f t="shared" si="28"/>
        <v>13750</v>
      </c>
      <c r="K49" s="76">
        <v>0</v>
      </c>
      <c r="L49" s="76">
        <f t="shared" si="42"/>
        <v>123750</v>
      </c>
      <c r="M49" s="76">
        <f t="shared" si="33"/>
        <v>71783</v>
      </c>
      <c r="N49" s="78">
        <f t="shared" si="34"/>
        <v>0.58006464646464651</v>
      </c>
      <c r="O49" s="75">
        <v>0</v>
      </c>
      <c r="P49" s="76"/>
      <c r="Q49" s="76">
        <f t="shared" si="14"/>
        <v>0</v>
      </c>
      <c r="R49" s="76">
        <f t="shared" si="21"/>
        <v>0</v>
      </c>
      <c r="S49" s="78" t="e">
        <f t="shared" ref="S49:S59" si="45">R49/Q49</f>
        <v>#DIV/0!</v>
      </c>
      <c r="T49" s="75">
        <f t="shared" si="29"/>
        <v>839162.94833333325</v>
      </c>
      <c r="U49" s="76">
        <v>0</v>
      </c>
      <c r="V49" s="76">
        <f t="shared" si="43"/>
        <v>7552466.5349999992</v>
      </c>
      <c r="W49" s="76">
        <f t="shared" si="35"/>
        <v>1526046</v>
      </c>
      <c r="X49" s="78">
        <f t="shared" si="36"/>
        <v>0.20205928658245953</v>
      </c>
      <c r="Y49" s="75">
        <f t="shared" si="30"/>
        <v>1666.6666666666667</v>
      </c>
      <c r="Z49" s="76">
        <v>0</v>
      </c>
      <c r="AA49" s="76">
        <f t="shared" si="44"/>
        <v>14999.999999999998</v>
      </c>
      <c r="AB49" s="76">
        <f t="shared" si="37"/>
        <v>11578</v>
      </c>
      <c r="AC49" s="78">
        <f t="shared" si="38"/>
        <v>0.77186666666666681</v>
      </c>
      <c r="AD49" s="68">
        <v>0</v>
      </c>
      <c r="AE49" s="69">
        <v>0</v>
      </c>
    </row>
    <row r="50" spans="1:37" ht="15.5" x14ac:dyDescent="0.35">
      <c r="A50" s="64">
        <v>2024</v>
      </c>
      <c r="B50" s="64">
        <v>3</v>
      </c>
      <c r="C50" s="65">
        <v>45474</v>
      </c>
      <c r="D50" s="65">
        <v>45565</v>
      </c>
      <c r="E50" s="72">
        <f t="shared" si="27"/>
        <v>321352.27250000002</v>
      </c>
      <c r="F50" s="73">
        <v>0</v>
      </c>
      <c r="G50" s="73">
        <f t="shared" si="31"/>
        <v>3213522.7250000001</v>
      </c>
      <c r="H50" s="73">
        <f t="shared" si="32"/>
        <v>48455</v>
      </c>
      <c r="I50" s="128">
        <f t="shared" si="23"/>
        <v>1.5078468131884768E-2</v>
      </c>
      <c r="J50" s="75">
        <f t="shared" si="28"/>
        <v>13750</v>
      </c>
      <c r="K50" s="77"/>
      <c r="L50" s="77">
        <f t="shared" si="42"/>
        <v>137500</v>
      </c>
      <c r="M50" s="77">
        <f t="shared" si="33"/>
        <v>71783</v>
      </c>
      <c r="N50" s="78">
        <f t="shared" si="34"/>
        <v>0.52205818181818187</v>
      </c>
      <c r="O50" s="75">
        <v>0</v>
      </c>
      <c r="P50" s="77"/>
      <c r="Q50" s="77">
        <f t="shared" si="14"/>
        <v>0</v>
      </c>
      <c r="R50" s="77">
        <f t="shared" si="21"/>
        <v>0</v>
      </c>
      <c r="S50" s="78" t="e">
        <f t="shared" si="45"/>
        <v>#DIV/0!</v>
      </c>
      <c r="T50" s="75">
        <f t="shared" si="29"/>
        <v>839162.94833333325</v>
      </c>
      <c r="U50" s="77">
        <v>0</v>
      </c>
      <c r="V50" s="77">
        <f t="shared" si="43"/>
        <v>8391629.4833333325</v>
      </c>
      <c r="W50" s="77">
        <f t="shared" si="35"/>
        <v>1526046</v>
      </c>
      <c r="X50" s="78">
        <f t="shared" si="36"/>
        <v>0.18185335792421359</v>
      </c>
      <c r="Y50" s="75">
        <f t="shared" si="30"/>
        <v>1666.6666666666667</v>
      </c>
      <c r="Z50" s="77">
        <v>0</v>
      </c>
      <c r="AA50" s="77">
        <f t="shared" si="44"/>
        <v>16666.666666666664</v>
      </c>
      <c r="AB50" s="77">
        <f t="shared" si="37"/>
        <v>11578</v>
      </c>
      <c r="AC50" s="78">
        <f t="shared" si="38"/>
        <v>0.69468000000000008</v>
      </c>
      <c r="AD50" s="131">
        <v>0</v>
      </c>
      <c r="AE50" s="130">
        <v>0</v>
      </c>
    </row>
    <row r="51" spans="1:37" ht="15.5" x14ac:dyDescent="0.35">
      <c r="A51" s="1">
        <v>2024</v>
      </c>
      <c r="B51" s="1">
        <v>4</v>
      </c>
      <c r="C51" s="2">
        <v>45566</v>
      </c>
      <c r="D51" s="2">
        <v>45657</v>
      </c>
      <c r="E51" s="21">
        <f t="shared" si="27"/>
        <v>321352.27250000002</v>
      </c>
      <c r="F51" s="18"/>
      <c r="G51" s="18">
        <f t="shared" si="31"/>
        <v>3534874.9975000001</v>
      </c>
      <c r="H51" s="18">
        <f t="shared" si="32"/>
        <v>48455</v>
      </c>
      <c r="I51" s="24">
        <f t="shared" si="23"/>
        <v>1.3707698301713426E-2</v>
      </c>
      <c r="J51" s="10">
        <f t="shared" si="28"/>
        <v>13750</v>
      </c>
      <c r="K51" s="4"/>
      <c r="L51" s="4">
        <f t="shared" si="42"/>
        <v>151250</v>
      </c>
      <c r="M51" s="4">
        <f t="shared" si="33"/>
        <v>71783</v>
      </c>
      <c r="N51" s="16">
        <f t="shared" si="34"/>
        <v>0.47459834710743803</v>
      </c>
      <c r="O51" s="11">
        <v>0</v>
      </c>
      <c r="P51" s="4"/>
      <c r="Q51" s="4">
        <f t="shared" si="14"/>
        <v>0</v>
      </c>
      <c r="R51" s="4">
        <f t="shared" si="21"/>
        <v>0</v>
      </c>
      <c r="S51" s="16" t="e">
        <f t="shared" si="45"/>
        <v>#DIV/0!</v>
      </c>
      <c r="T51" s="10">
        <f t="shared" si="29"/>
        <v>839162.94833333325</v>
      </c>
      <c r="U51" s="4"/>
      <c r="V51" s="4">
        <f t="shared" si="43"/>
        <v>9230792.4316666648</v>
      </c>
      <c r="W51" s="4">
        <f t="shared" si="35"/>
        <v>1526046</v>
      </c>
      <c r="X51" s="16">
        <f t="shared" si="36"/>
        <v>0.1653212344765578</v>
      </c>
      <c r="Y51" s="10">
        <f t="shared" si="30"/>
        <v>1666.6666666666667</v>
      </c>
      <c r="Z51" s="4"/>
      <c r="AA51" s="4">
        <f t="shared" si="44"/>
        <v>18333.333333333332</v>
      </c>
      <c r="AB51" s="4">
        <f t="shared" si="37"/>
        <v>11578</v>
      </c>
      <c r="AC51" s="16">
        <f t="shared" si="38"/>
        <v>0.63152727272727271</v>
      </c>
      <c r="AD51" s="14">
        <v>0</v>
      </c>
      <c r="AE51" s="3"/>
    </row>
    <row r="52" spans="1:37" ht="15.5" x14ac:dyDescent="0.35">
      <c r="A52" s="1">
        <v>2025</v>
      </c>
      <c r="B52" s="1">
        <v>1</v>
      </c>
      <c r="C52" s="2">
        <v>45658</v>
      </c>
      <c r="D52" s="2">
        <v>45747</v>
      </c>
      <c r="E52" s="21">
        <f t="shared" si="27"/>
        <v>321352.27250000002</v>
      </c>
      <c r="F52" s="18"/>
      <c r="G52" s="18">
        <f t="shared" si="31"/>
        <v>3856227.27</v>
      </c>
      <c r="H52" s="18">
        <f t="shared" si="32"/>
        <v>48455</v>
      </c>
      <c r="I52" s="24">
        <f t="shared" si="23"/>
        <v>1.2565390109903974E-2</v>
      </c>
      <c r="J52" s="10">
        <f t="shared" si="28"/>
        <v>13750</v>
      </c>
      <c r="K52" s="4"/>
      <c r="L52" s="4">
        <f t="shared" si="42"/>
        <v>165000</v>
      </c>
      <c r="M52" s="4">
        <f t="shared" si="33"/>
        <v>71783</v>
      </c>
      <c r="N52" s="16">
        <f t="shared" si="34"/>
        <v>0.43504848484848485</v>
      </c>
      <c r="O52" s="11">
        <v>660000</v>
      </c>
      <c r="P52" s="4"/>
      <c r="Q52" s="4">
        <f t="shared" si="14"/>
        <v>660000</v>
      </c>
      <c r="R52" s="4">
        <f t="shared" si="21"/>
        <v>0</v>
      </c>
      <c r="S52" s="16">
        <f t="shared" si="45"/>
        <v>0</v>
      </c>
      <c r="T52" s="10">
        <f t="shared" si="29"/>
        <v>839162.94833333325</v>
      </c>
      <c r="U52" s="4"/>
      <c r="V52" s="4">
        <f t="shared" si="43"/>
        <v>10069955.379999999</v>
      </c>
      <c r="W52" s="4">
        <f t="shared" si="35"/>
        <v>1526046</v>
      </c>
      <c r="X52" s="16">
        <f t="shared" si="36"/>
        <v>0.15154446493684465</v>
      </c>
      <c r="Y52" s="10">
        <f t="shared" si="30"/>
        <v>1666.6666666666667</v>
      </c>
      <c r="Z52" s="4"/>
      <c r="AA52" s="4">
        <f t="shared" si="44"/>
        <v>20000</v>
      </c>
      <c r="AB52" s="4">
        <f t="shared" si="37"/>
        <v>11578</v>
      </c>
      <c r="AC52" s="16">
        <f t="shared" si="38"/>
        <v>0.57889999999999997</v>
      </c>
      <c r="AD52" s="14">
        <v>18</v>
      </c>
      <c r="AE52" s="3"/>
    </row>
    <row r="53" spans="1:37" ht="15.5" x14ac:dyDescent="0.35">
      <c r="A53" s="1">
        <v>2025</v>
      </c>
      <c r="B53" s="1">
        <v>2</v>
      </c>
      <c r="C53" s="2">
        <v>45748</v>
      </c>
      <c r="D53" s="2">
        <v>45838</v>
      </c>
      <c r="E53" s="22">
        <v>0</v>
      </c>
      <c r="F53" s="18"/>
      <c r="G53" s="18">
        <f t="shared" si="31"/>
        <v>3856227.27</v>
      </c>
      <c r="H53" s="18">
        <f t="shared" si="32"/>
        <v>48455</v>
      </c>
      <c r="I53" s="24">
        <f t="shared" si="23"/>
        <v>1.2565390109903974E-2</v>
      </c>
      <c r="J53" s="11">
        <v>0</v>
      </c>
      <c r="K53" s="4"/>
      <c r="L53" s="4">
        <f t="shared" si="42"/>
        <v>165000</v>
      </c>
      <c r="M53" s="4">
        <f t="shared" si="33"/>
        <v>71783</v>
      </c>
      <c r="N53" s="16">
        <f t="shared" si="34"/>
        <v>0.43504848484848485</v>
      </c>
      <c r="O53" s="11">
        <v>0</v>
      </c>
      <c r="P53" s="4"/>
      <c r="Q53" s="4">
        <f t="shared" si="14"/>
        <v>660000</v>
      </c>
      <c r="R53" s="4">
        <f t="shared" si="21"/>
        <v>0</v>
      </c>
      <c r="S53" s="16">
        <f t="shared" si="45"/>
        <v>0</v>
      </c>
      <c r="T53" s="11">
        <v>0</v>
      </c>
      <c r="U53" s="4"/>
      <c r="V53" s="4">
        <f t="shared" si="43"/>
        <v>10069955.379999999</v>
      </c>
      <c r="W53" s="4">
        <f t="shared" si="35"/>
        <v>1526046</v>
      </c>
      <c r="X53" s="16">
        <f t="shared" si="36"/>
        <v>0.15154446493684465</v>
      </c>
      <c r="Y53" s="11">
        <v>0</v>
      </c>
      <c r="Z53" s="4"/>
      <c r="AA53" s="4">
        <f t="shared" si="44"/>
        <v>20000</v>
      </c>
      <c r="AB53" s="4">
        <f t="shared" si="37"/>
        <v>11578</v>
      </c>
      <c r="AC53" s="16">
        <f t="shared" si="38"/>
        <v>0.57889999999999997</v>
      </c>
      <c r="AD53" s="14"/>
      <c r="AE53" s="3"/>
    </row>
    <row r="54" spans="1:37" ht="15.5" x14ac:dyDescent="0.35">
      <c r="A54" s="1">
        <v>2025</v>
      </c>
      <c r="B54" s="1">
        <v>3</v>
      </c>
      <c r="C54" s="2">
        <v>45839</v>
      </c>
      <c r="D54" s="2">
        <v>45930</v>
      </c>
      <c r="E54" s="22">
        <v>0</v>
      </c>
      <c r="F54" s="18"/>
      <c r="G54" s="18">
        <f t="shared" si="31"/>
        <v>3856227.27</v>
      </c>
      <c r="H54" s="18">
        <f t="shared" si="32"/>
        <v>48455</v>
      </c>
      <c r="I54" s="24">
        <f t="shared" si="23"/>
        <v>1.2565390109903974E-2</v>
      </c>
      <c r="J54" s="11">
        <v>0</v>
      </c>
      <c r="K54" s="4"/>
      <c r="L54" s="4">
        <f t="shared" si="42"/>
        <v>165000</v>
      </c>
      <c r="M54" s="4">
        <f t="shared" si="33"/>
        <v>71783</v>
      </c>
      <c r="N54" s="16">
        <f t="shared" si="34"/>
        <v>0.43504848484848485</v>
      </c>
      <c r="O54" s="11">
        <v>0</v>
      </c>
      <c r="P54" s="4"/>
      <c r="Q54" s="4">
        <f t="shared" si="14"/>
        <v>660000</v>
      </c>
      <c r="R54" s="4">
        <f t="shared" si="21"/>
        <v>0</v>
      </c>
      <c r="S54" s="16">
        <f t="shared" si="45"/>
        <v>0</v>
      </c>
      <c r="T54" s="11">
        <v>0</v>
      </c>
      <c r="U54" s="4"/>
      <c r="V54" s="4">
        <f t="shared" si="43"/>
        <v>10069955.379999999</v>
      </c>
      <c r="W54" s="4">
        <f t="shared" si="35"/>
        <v>1526046</v>
      </c>
      <c r="X54" s="16">
        <f t="shared" si="36"/>
        <v>0.15154446493684465</v>
      </c>
      <c r="Y54" s="11">
        <v>0</v>
      </c>
      <c r="Z54" s="4"/>
      <c r="AA54" s="4">
        <f t="shared" si="44"/>
        <v>20000</v>
      </c>
      <c r="AB54" s="4">
        <f t="shared" si="37"/>
        <v>11578</v>
      </c>
      <c r="AC54" s="16">
        <f t="shared" si="38"/>
        <v>0.57889999999999997</v>
      </c>
      <c r="AD54" s="14"/>
      <c r="AE54" s="3"/>
    </row>
    <row r="55" spans="1:37" ht="15.5" x14ac:dyDescent="0.35">
      <c r="A55" s="1">
        <v>2025</v>
      </c>
      <c r="B55" s="1">
        <v>4</v>
      </c>
      <c r="C55" s="2">
        <v>45931</v>
      </c>
      <c r="D55" s="2">
        <v>46022</v>
      </c>
      <c r="E55" s="22">
        <v>0</v>
      </c>
      <c r="F55" s="18"/>
      <c r="G55" s="18">
        <f t="shared" si="31"/>
        <v>3856227.27</v>
      </c>
      <c r="H55" s="18">
        <f t="shared" si="32"/>
        <v>48455</v>
      </c>
      <c r="I55" s="24">
        <f t="shared" si="23"/>
        <v>1.2565390109903974E-2</v>
      </c>
      <c r="J55" s="11">
        <v>0</v>
      </c>
      <c r="K55" s="4"/>
      <c r="L55" s="4">
        <f t="shared" si="42"/>
        <v>165000</v>
      </c>
      <c r="M55" s="4">
        <f t="shared" si="33"/>
        <v>71783</v>
      </c>
      <c r="N55" s="16">
        <f t="shared" si="34"/>
        <v>0.43504848484848485</v>
      </c>
      <c r="O55" s="11">
        <v>0</v>
      </c>
      <c r="P55" s="4"/>
      <c r="Q55" s="4">
        <f t="shared" si="14"/>
        <v>660000</v>
      </c>
      <c r="R55" s="4">
        <f t="shared" si="21"/>
        <v>0</v>
      </c>
      <c r="S55" s="16">
        <f t="shared" si="45"/>
        <v>0</v>
      </c>
      <c r="T55" s="11">
        <v>0</v>
      </c>
      <c r="U55" s="4"/>
      <c r="V55" s="4">
        <f t="shared" si="43"/>
        <v>10069955.379999999</v>
      </c>
      <c r="W55" s="4">
        <f t="shared" si="35"/>
        <v>1526046</v>
      </c>
      <c r="X55" s="16">
        <f t="shared" si="36"/>
        <v>0.15154446493684465</v>
      </c>
      <c r="Y55" s="11">
        <v>0</v>
      </c>
      <c r="Z55" s="4"/>
      <c r="AA55" s="4">
        <f t="shared" si="44"/>
        <v>20000</v>
      </c>
      <c r="AB55" s="4">
        <f t="shared" si="37"/>
        <v>11578</v>
      </c>
      <c r="AC55" s="16">
        <f t="shared" si="38"/>
        <v>0.57889999999999997</v>
      </c>
      <c r="AD55" s="14"/>
      <c r="AE55" s="3"/>
    </row>
    <row r="56" spans="1:37" ht="15.5" x14ac:dyDescent="0.35">
      <c r="A56" s="1">
        <v>2026</v>
      </c>
      <c r="B56" s="1">
        <v>1</v>
      </c>
      <c r="C56" s="2">
        <v>46023</v>
      </c>
      <c r="D56" s="2">
        <v>46112</v>
      </c>
      <c r="E56" s="22">
        <v>0</v>
      </c>
      <c r="F56" s="18"/>
      <c r="G56" s="18">
        <f t="shared" si="31"/>
        <v>3856227.27</v>
      </c>
      <c r="H56" s="18">
        <f t="shared" si="32"/>
        <v>48455</v>
      </c>
      <c r="I56" s="24">
        <f>H56/G56</f>
        <v>1.2565390109903974E-2</v>
      </c>
      <c r="J56" s="11">
        <v>0</v>
      </c>
      <c r="K56" s="4"/>
      <c r="L56" s="4">
        <f t="shared" si="42"/>
        <v>165000</v>
      </c>
      <c r="M56" s="4">
        <f t="shared" si="33"/>
        <v>71783</v>
      </c>
      <c r="N56" s="16">
        <f t="shared" si="34"/>
        <v>0.43504848484848485</v>
      </c>
      <c r="O56" s="11">
        <v>0</v>
      </c>
      <c r="P56" s="4"/>
      <c r="Q56" s="4">
        <f t="shared" si="14"/>
        <v>660000</v>
      </c>
      <c r="R56" s="4">
        <f t="shared" si="21"/>
        <v>0</v>
      </c>
      <c r="S56" s="16">
        <f t="shared" si="45"/>
        <v>0</v>
      </c>
      <c r="T56" s="11">
        <v>0</v>
      </c>
      <c r="U56" s="4"/>
      <c r="V56" s="4">
        <f t="shared" si="43"/>
        <v>10069955.379999999</v>
      </c>
      <c r="W56" s="4">
        <f t="shared" si="35"/>
        <v>1526046</v>
      </c>
      <c r="X56" s="16">
        <f t="shared" si="36"/>
        <v>0.15154446493684465</v>
      </c>
      <c r="Y56" s="11">
        <v>0</v>
      </c>
      <c r="Z56" s="4"/>
      <c r="AA56" s="4">
        <f t="shared" si="44"/>
        <v>20000</v>
      </c>
      <c r="AB56" s="4">
        <f t="shared" si="37"/>
        <v>11578</v>
      </c>
      <c r="AC56" s="16">
        <f t="shared" si="38"/>
        <v>0.57889999999999997</v>
      </c>
      <c r="AD56" s="14"/>
      <c r="AE56" s="3"/>
    </row>
    <row r="57" spans="1:37" ht="15.5" x14ac:dyDescent="0.35">
      <c r="A57" s="1">
        <v>2026</v>
      </c>
      <c r="B57" s="1">
        <v>2</v>
      </c>
      <c r="C57" s="2">
        <v>46113</v>
      </c>
      <c r="D57" s="2">
        <v>46203</v>
      </c>
      <c r="E57" s="22">
        <v>0</v>
      </c>
      <c r="F57" s="18"/>
      <c r="G57" s="18">
        <f t="shared" si="31"/>
        <v>3856227.27</v>
      </c>
      <c r="H57" s="18">
        <f t="shared" si="32"/>
        <v>48455</v>
      </c>
      <c r="I57" s="24">
        <f t="shared" ref="I57:I58" si="46">H57/G57</f>
        <v>1.2565390109903974E-2</v>
      </c>
      <c r="J57" s="11">
        <v>0</v>
      </c>
      <c r="K57" s="4"/>
      <c r="L57" s="4">
        <f t="shared" si="42"/>
        <v>165000</v>
      </c>
      <c r="M57" s="4">
        <f t="shared" si="33"/>
        <v>71783</v>
      </c>
      <c r="N57" s="16">
        <f t="shared" si="34"/>
        <v>0.43504848484848485</v>
      </c>
      <c r="O57" s="11">
        <v>0</v>
      </c>
      <c r="P57" s="4"/>
      <c r="Q57" s="4">
        <f t="shared" si="14"/>
        <v>660000</v>
      </c>
      <c r="R57" s="4">
        <f t="shared" si="21"/>
        <v>0</v>
      </c>
      <c r="S57" s="16">
        <f t="shared" si="45"/>
        <v>0</v>
      </c>
      <c r="T57" s="11">
        <v>0</v>
      </c>
      <c r="U57" s="4"/>
      <c r="V57" s="4">
        <f t="shared" si="43"/>
        <v>10069955.379999999</v>
      </c>
      <c r="W57" s="4">
        <f t="shared" si="35"/>
        <v>1526046</v>
      </c>
      <c r="X57" s="16">
        <f t="shared" si="36"/>
        <v>0.15154446493684465</v>
      </c>
      <c r="Y57" s="11">
        <v>0</v>
      </c>
      <c r="Z57" s="4"/>
      <c r="AA57" s="4">
        <f t="shared" si="44"/>
        <v>20000</v>
      </c>
      <c r="AB57" s="4">
        <f t="shared" si="37"/>
        <v>11578</v>
      </c>
      <c r="AC57" s="16">
        <f t="shared" si="38"/>
        <v>0.57889999999999997</v>
      </c>
      <c r="AD57" s="14"/>
      <c r="AE57" s="3"/>
    </row>
    <row r="58" spans="1:37" ht="15.5" x14ac:dyDescent="0.35">
      <c r="A58" s="1">
        <v>2026</v>
      </c>
      <c r="B58" s="1">
        <v>3</v>
      </c>
      <c r="C58" s="2">
        <v>46204</v>
      </c>
      <c r="D58" s="2">
        <v>46295</v>
      </c>
      <c r="E58" s="22">
        <v>0</v>
      </c>
      <c r="F58" s="18"/>
      <c r="G58" s="18">
        <f t="shared" si="31"/>
        <v>3856227.27</v>
      </c>
      <c r="H58" s="18">
        <f>SUM(H57+F58)</f>
        <v>48455</v>
      </c>
      <c r="I58" s="24">
        <f t="shared" si="46"/>
        <v>1.2565390109903974E-2</v>
      </c>
      <c r="J58" s="11">
        <v>0</v>
      </c>
      <c r="K58" s="15"/>
      <c r="L58" s="15">
        <f t="shared" si="42"/>
        <v>165000</v>
      </c>
      <c r="M58" s="15">
        <f t="shared" si="33"/>
        <v>71783</v>
      </c>
      <c r="N58" s="16">
        <f t="shared" si="34"/>
        <v>0.43504848484848485</v>
      </c>
      <c r="O58" s="11">
        <v>0</v>
      </c>
      <c r="P58" s="15"/>
      <c r="Q58" s="15">
        <f t="shared" si="14"/>
        <v>660000</v>
      </c>
      <c r="R58" s="15">
        <f t="shared" si="21"/>
        <v>0</v>
      </c>
      <c r="S58" s="16">
        <f t="shared" si="45"/>
        <v>0</v>
      </c>
      <c r="T58" s="11">
        <v>0</v>
      </c>
      <c r="U58" s="15"/>
      <c r="V58" s="15">
        <f t="shared" si="43"/>
        <v>10069955.379999999</v>
      </c>
      <c r="W58" s="15">
        <f t="shared" si="35"/>
        <v>1526046</v>
      </c>
      <c r="X58" s="16">
        <f t="shared" si="36"/>
        <v>0.15154446493684465</v>
      </c>
      <c r="Y58" s="11">
        <v>0</v>
      </c>
      <c r="Z58" s="15"/>
      <c r="AA58" s="15">
        <f t="shared" si="44"/>
        <v>20000</v>
      </c>
      <c r="AB58" s="15">
        <f t="shared" si="37"/>
        <v>11578</v>
      </c>
      <c r="AC58" s="16">
        <f t="shared" si="38"/>
        <v>0.57889999999999997</v>
      </c>
      <c r="AD58" s="14"/>
      <c r="AE58" s="3"/>
    </row>
    <row r="59" spans="1:37" ht="15" thickBot="1" x14ac:dyDescent="0.4">
      <c r="A59" s="36" t="s">
        <v>12</v>
      </c>
      <c r="B59" s="36"/>
      <c r="C59" s="36"/>
      <c r="D59" s="37"/>
      <c r="E59" s="38">
        <f>3463616.62+(392610.65)</f>
        <v>3856227.27</v>
      </c>
      <c r="F59" s="34">
        <f>SUM(F35:F58)</f>
        <v>48455</v>
      </c>
      <c r="G59" s="34">
        <f>G58</f>
        <v>3856227.27</v>
      </c>
      <c r="H59" s="35">
        <f>H58</f>
        <v>48455</v>
      </c>
      <c r="I59" s="146">
        <f>H59/G59</f>
        <v>1.2565390109903974E-2</v>
      </c>
      <c r="J59" s="39">
        <v>165000</v>
      </c>
      <c r="K59" s="46">
        <f>SUM(K35:K58)</f>
        <v>71783</v>
      </c>
      <c r="L59" s="40">
        <f>L58</f>
        <v>165000</v>
      </c>
      <c r="M59" s="41">
        <f>M58</f>
        <v>71783</v>
      </c>
      <c r="N59" s="42">
        <f>M59/L59</f>
        <v>0.43504848484848485</v>
      </c>
      <c r="O59" s="39">
        <v>630000</v>
      </c>
      <c r="P59" s="46">
        <f>SUM(P35:P58)</f>
        <v>0</v>
      </c>
      <c r="Q59" s="40">
        <f>Q58</f>
        <v>660000</v>
      </c>
      <c r="R59" s="41">
        <f>R58</f>
        <v>0</v>
      </c>
      <c r="S59" s="42">
        <f t="shared" si="45"/>
        <v>0</v>
      </c>
      <c r="T59" s="39">
        <f>9065701.04+(1004254.34)</f>
        <v>10069955.379999999</v>
      </c>
      <c r="U59" s="46">
        <f>SUM(U35:U58)</f>
        <v>1526046</v>
      </c>
      <c r="V59" s="40">
        <f>V58</f>
        <v>10069955.379999999</v>
      </c>
      <c r="W59" s="41">
        <f>W58</f>
        <v>1526046</v>
      </c>
      <c r="X59" s="42">
        <f>W59/V59</f>
        <v>0.15154446493684465</v>
      </c>
      <c r="Y59" s="39">
        <v>20000</v>
      </c>
      <c r="Z59" s="46">
        <f>SUM(Z35:Z58)</f>
        <v>11578</v>
      </c>
      <c r="AA59" s="40">
        <f>AA58</f>
        <v>20000</v>
      </c>
      <c r="AB59" s="41">
        <f>AB58</f>
        <v>11578</v>
      </c>
      <c r="AC59" s="42">
        <f>AB59/AA59</f>
        <v>0.57889999999999997</v>
      </c>
      <c r="AD59" s="43">
        <f>SUM(AD35:AD58)</f>
        <v>18</v>
      </c>
      <c r="AE59" s="43">
        <f>SUM(AE35:AE58)</f>
        <v>0</v>
      </c>
    </row>
    <row r="60" spans="1:37" ht="15" thickTop="1" x14ac:dyDescent="0.35">
      <c r="A60" s="28"/>
      <c r="B60" s="28"/>
      <c r="C60" s="28"/>
      <c r="D60" s="28"/>
      <c r="E60" s="160">
        <f>E59+J59+O59</f>
        <v>4651227.2699999996</v>
      </c>
      <c r="F60" s="29"/>
      <c r="G60" s="29"/>
      <c r="H60" s="30"/>
      <c r="I60" s="47"/>
      <c r="J60" s="31"/>
      <c r="K60" s="47"/>
      <c r="L60" s="29"/>
      <c r="M60" s="30"/>
      <c r="N60" s="44"/>
      <c r="O60" s="28"/>
      <c r="P60" s="28"/>
      <c r="T60" s="161">
        <f>T59+Y59</f>
        <v>10089955.379999999</v>
      </c>
    </row>
    <row r="61" spans="1:37" x14ac:dyDescent="0.35">
      <c r="A61" s="28"/>
      <c r="B61" s="28"/>
      <c r="C61" s="28"/>
      <c r="D61" s="28"/>
      <c r="E61" s="29"/>
      <c r="F61" s="29"/>
      <c r="G61" s="29"/>
      <c r="H61" s="30"/>
      <c r="I61" s="47"/>
      <c r="J61" s="31"/>
      <c r="K61" s="47"/>
      <c r="L61" s="29"/>
      <c r="M61" s="30"/>
      <c r="N61" s="44"/>
      <c r="O61" s="28"/>
      <c r="P61" s="28"/>
    </row>
    <row r="62" spans="1:37" x14ac:dyDescent="0.35">
      <c r="A62" s="198" t="s">
        <v>64</v>
      </c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22"/>
      <c r="AG62" s="122"/>
      <c r="AH62" s="122"/>
      <c r="AI62" s="122"/>
      <c r="AJ62" s="122"/>
      <c r="AK62" s="122"/>
    </row>
    <row r="63" spans="1:37" ht="15" thickBot="1" x14ac:dyDescent="0.4">
      <c r="A63" s="202" t="s">
        <v>0</v>
      </c>
      <c r="B63" s="204"/>
      <c r="C63" s="204"/>
      <c r="D63" s="204"/>
      <c r="E63" s="193" t="s">
        <v>18</v>
      </c>
      <c r="F63" s="193"/>
      <c r="G63" s="193"/>
      <c r="H63" s="193"/>
      <c r="I63" s="194"/>
      <c r="J63" s="195" t="s">
        <v>17</v>
      </c>
      <c r="K63" s="196"/>
      <c r="L63" s="196"/>
      <c r="M63" s="196"/>
      <c r="N63" s="197"/>
      <c r="O63" s="205" t="s">
        <v>56</v>
      </c>
      <c r="P63" s="205"/>
      <c r="Q63" s="205"/>
      <c r="R63" s="205"/>
      <c r="S63" s="205"/>
      <c r="T63" s="199" t="s">
        <v>21</v>
      </c>
      <c r="U63" s="200"/>
      <c r="V63" s="200"/>
      <c r="W63" s="200"/>
      <c r="X63" s="201"/>
      <c r="Y63" s="195" t="s">
        <v>22</v>
      </c>
      <c r="Z63" s="196"/>
      <c r="AA63" s="196"/>
      <c r="AB63" s="196"/>
      <c r="AC63" s="197"/>
      <c r="AD63" s="202"/>
      <c r="AE63" s="203"/>
    </row>
    <row r="64" spans="1:37" ht="44" thickTop="1" x14ac:dyDescent="0.35">
      <c r="A64" s="7" t="s">
        <v>1</v>
      </c>
      <c r="B64" s="7" t="s">
        <v>2</v>
      </c>
      <c r="C64" s="7" t="s">
        <v>3</v>
      </c>
      <c r="D64" s="9" t="s">
        <v>9</v>
      </c>
      <c r="E64" s="19" t="s">
        <v>4</v>
      </c>
      <c r="F64" s="20" t="s">
        <v>6</v>
      </c>
      <c r="G64" s="20" t="s">
        <v>5</v>
      </c>
      <c r="H64" s="20" t="s">
        <v>7</v>
      </c>
      <c r="I64" s="23" t="s">
        <v>8</v>
      </c>
      <c r="J64" s="25" t="s">
        <v>4</v>
      </c>
      <c r="K64" s="26" t="s">
        <v>6</v>
      </c>
      <c r="L64" s="26" t="s">
        <v>5</v>
      </c>
      <c r="M64" s="26" t="s">
        <v>7</v>
      </c>
      <c r="N64" s="27" t="s">
        <v>8</v>
      </c>
      <c r="O64" s="84" t="s">
        <v>4</v>
      </c>
      <c r="P64" s="85" t="s">
        <v>6</v>
      </c>
      <c r="Q64" s="85" t="s">
        <v>5</v>
      </c>
      <c r="R64" s="85" t="s">
        <v>7</v>
      </c>
      <c r="S64" s="86" t="s">
        <v>8</v>
      </c>
      <c r="T64" s="25" t="s">
        <v>4</v>
      </c>
      <c r="U64" s="26" t="s">
        <v>6</v>
      </c>
      <c r="V64" s="26" t="s">
        <v>5</v>
      </c>
      <c r="W64" s="26" t="s">
        <v>7</v>
      </c>
      <c r="X64" s="27" t="s">
        <v>8</v>
      </c>
      <c r="Y64" s="25" t="s">
        <v>4</v>
      </c>
      <c r="Z64" s="26" t="s">
        <v>6</v>
      </c>
      <c r="AA64" s="26" t="s">
        <v>5</v>
      </c>
      <c r="AB64" s="26" t="s">
        <v>7</v>
      </c>
      <c r="AC64" s="27" t="s">
        <v>8</v>
      </c>
      <c r="AD64" s="13" t="s">
        <v>10</v>
      </c>
      <c r="AE64" s="8" t="s">
        <v>11</v>
      </c>
    </row>
    <row r="65" spans="1:55" ht="15.5" x14ac:dyDescent="0.35">
      <c r="A65" s="64">
        <v>2020</v>
      </c>
      <c r="B65" s="64">
        <v>4</v>
      </c>
      <c r="C65" s="65">
        <v>44105</v>
      </c>
      <c r="D65" s="65">
        <v>44196</v>
      </c>
      <c r="E65" s="66">
        <v>0</v>
      </c>
      <c r="F65" s="66">
        <v>0</v>
      </c>
      <c r="G65" s="66">
        <v>0</v>
      </c>
      <c r="H65" s="66">
        <v>0</v>
      </c>
      <c r="I65" s="67">
        <v>0</v>
      </c>
      <c r="J65" s="66">
        <v>0</v>
      </c>
      <c r="K65" s="66">
        <v>0</v>
      </c>
      <c r="L65" s="66">
        <v>0</v>
      </c>
      <c r="M65" s="66">
        <v>0</v>
      </c>
      <c r="N65" s="67">
        <v>0</v>
      </c>
      <c r="O65" s="66">
        <v>0</v>
      </c>
      <c r="P65" s="66">
        <v>0</v>
      </c>
      <c r="Q65" s="66">
        <v>0</v>
      </c>
      <c r="R65" s="66">
        <v>0</v>
      </c>
      <c r="S65" s="67">
        <v>0</v>
      </c>
      <c r="T65" s="66">
        <v>0</v>
      </c>
      <c r="U65" s="66">
        <v>0</v>
      </c>
      <c r="V65" s="66">
        <v>0</v>
      </c>
      <c r="W65" s="66">
        <v>0</v>
      </c>
      <c r="X65" s="67">
        <v>0</v>
      </c>
      <c r="Y65" s="66">
        <v>0</v>
      </c>
      <c r="Z65" s="66">
        <v>0</v>
      </c>
      <c r="AA65" s="66">
        <v>0</v>
      </c>
      <c r="AB65" s="66">
        <v>0</v>
      </c>
      <c r="AC65" s="67">
        <v>0</v>
      </c>
      <c r="AD65" s="68">
        <v>0</v>
      </c>
      <c r="AE65" s="69">
        <v>0</v>
      </c>
    </row>
    <row r="66" spans="1:55" ht="15.5" x14ac:dyDescent="0.35">
      <c r="A66" s="64">
        <v>2021</v>
      </c>
      <c r="B66" s="64">
        <v>1</v>
      </c>
      <c r="C66" s="65">
        <v>44197</v>
      </c>
      <c r="D66" s="65">
        <v>44286</v>
      </c>
      <c r="E66" s="66">
        <v>0</v>
      </c>
      <c r="F66" s="66">
        <v>0</v>
      </c>
      <c r="G66" s="66">
        <v>0</v>
      </c>
      <c r="H66" s="66">
        <v>0</v>
      </c>
      <c r="I66" s="67">
        <v>0</v>
      </c>
      <c r="J66" s="66">
        <v>0</v>
      </c>
      <c r="K66" s="66">
        <v>0</v>
      </c>
      <c r="L66" s="66">
        <v>0</v>
      </c>
      <c r="M66" s="66">
        <v>0</v>
      </c>
      <c r="N66" s="67">
        <v>0</v>
      </c>
      <c r="O66" s="66">
        <v>0</v>
      </c>
      <c r="P66" s="66">
        <v>0</v>
      </c>
      <c r="Q66" s="66">
        <v>0</v>
      </c>
      <c r="R66" s="66">
        <v>0</v>
      </c>
      <c r="S66" s="67">
        <v>0</v>
      </c>
      <c r="T66" s="66">
        <v>0</v>
      </c>
      <c r="U66" s="66">
        <v>0</v>
      </c>
      <c r="V66" s="66">
        <v>0</v>
      </c>
      <c r="W66" s="66">
        <v>0</v>
      </c>
      <c r="X66" s="67">
        <v>0</v>
      </c>
      <c r="Y66" s="66">
        <v>0</v>
      </c>
      <c r="Z66" s="66">
        <v>0</v>
      </c>
      <c r="AA66" s="66">
        <v>0</v>
      </c>
      <c r="AB66" s="66">
        <v>0</v>
      </c>
      <c r="AC66" s="67">
        <v>0</v>
      </c>
      <c r="AD66" s="68">
        <v>0</v>
      </c>
      <c r="AE66" s="69">
        <v>0</v>
      </c>
    </row>
    <row r="67" spans="1:55" s="108" customFormat="1" ht="15.5" x14ac:dyDescent="0.35">
      <c r="A67" s="89">
        <v>2021</v>
      </c>
      <c r="B67" s="89">
        <v>2</v>
      </c>
      <c r="C67" s="90">
        <v>44287</v>
      </c>
      <c r="D67" s="90">
        <v>44377</v>
      </c>
      <c r="E67" s="100">
        <v>0</v>
      </c>
      <c r="F67" s="92">
        <v>0</v>
      </c>
      <c r="G67" s="92">
        <f>E67</f>
        <v>0</v>
      </c>
      <c r="H67" s="92">
        <f>SUM(F67+0)</f>
        <v>0</v>
      </c>
      <c r="I67" s="101">
        <v>0</v>
      </c>
      <c r="J67" s="102">
        <v>0</v>
      </c>
      <c r="K67" s="103">
        <v>0</v>
      </c>
      <c r="L67" s="104">
        <f>J67</f>
        <v>0</v>
      </c>
      <c r="M67" s="103">
        <f>SUM(K67+0)</f>
        <v>0</v>
      </c>
      <c r="N67" s="105">
        <v>0</v>
      </c>
      <c r="O67" s="102">
        <v>0</v>
      </c>
      <c r="P67" s="103">
        <v>0</v>
      </c>
      <c r="Q67" s="104">
        <f>O67</f>
        <v>0</v>
      </c>
      <c r="R67" s="103">
        <f>SUM(P67+0)</f>
        <v>0</v>
      </c>
      <c r="S67" s="105">
        <v>0</v>
      </c>
      <c r="T67" s="102">
        <v>0</v>
      </c>
      <c r="U67" s="103">
        <v>0</v>
      </c>
      <c r="V67" s="104">
        <f>T67</f>
        <v>0</v>
      </c>
      <c r="W67" s="103">
        <f>SUM(U67+0)</f>
        <v>0</v>
      </c>
      <c r="X67" s="105">
        <v>0</v>
      </c>
      <c r="Y67" s="102">
        <v>0</v>
      </c>
      <c r="Z67" s="103">
        <v>0</v>
      </c>
      <c r="AA67" s="104">
        <f>Y67</f>
        <v>0</v>
      </c>
      <c r="AB67" s="103">
        <f>SUM(Z67+0)</f>
        <v>0</v>
      </c>
      <c r="AC67" s="105">
        <v>0</v>
      </c>
      <c r="AD67" s="106">
        <v>0</v>
      </c>
      <c r="AE67" s="107">
        <v>0</v>
      </c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</row>
    <row r="68" spans="1:55" ht="15.5" x14ac:dyDescent="0.35">
      <c r="A68" s="64">
        <v>2021</v>
      </c>
      <c r="B68" s="64">
        <v>3</v>
      </c>
      <c r="C68" s="65">
        <v>44378</v>
      </c>
      <c r="D68" s="65">
        <v>44469</v>
      </c>
      <c r="E68" s="72">
        <v>0</v>
      </c>
      <c r="F68" s="73"/>
      <c r="G68" s="73">
        <f t="shared" ref="G68:G69" si="47">G67+E68</f>
        <v>0</v>
      </c>
      <c r="H68" s="73">
        <f t="shared" ref="H68:H72" si="48">SUM(H67+F68)</f>
        <v>0</v>
      </c>
      <c r="I68" s="74">
        <v>0</v>
      </c>
      <c r="J68" s="75">
        <v>0</v>
      </c>
      <c r="K68" s="76"/>
      <c r="L68" s="76">
        <f>L67+J68</f>
        <v>0</v>
      </c>
      <c r="M68" s="76">
        <f>SUM(M67+K68)</f>
        <v>0</v>
      </c>
      <c r="N68" s="78">
        <v>0</v>
      </c>
      <c r="O68" s="75">
        <v>0</v>
      </c>
      <c r="P68" s="76"/>
      <c r="Q68" s="76">
        <f t="shared" ref="Q68:Q88" si="49">Q67+O68</f>
        <v>0</v>
      </c>
      <c r="R68" s="76">
        <f t="shared" ref="R68:R88" si="50">SUM(R67+P68)</f>
        <v>0</v>
      </c>
      <c r="S68" s="78">
        <v>0</v>
      </c>
      <c r="T68" s="75">
        <v>0</v>
      </c>
      <c r="U68" s="76"/>
      <c r="V68" s="76">
        <f>V67+T68</f>
        <v>0</v>
      </c>
      <c r="W68" s="76">
        <f>SUM(W67+U68)</f>
        <v>0</v>
      </c>
      <c r="X68" s="78">
        <v>0</v>
      </c>
      <c r="Y68" s="75">
        <v>0</v>
      </c>
      <c r="Z68" s="76">
        <v>0</v>
      </c>
      <c r="AA68" s="76">
        <f>AA67+Y68</f>
        <v>0</v>
      </c>
      <c r="AB68" s="76">
        <f>SUM(AB67+Z68)</f>
        <v>0</v>
      </c>
      <c r="AC68" s="78">
        <v>0</v>
      </c>
      <c r="AD68" s="68">
        <v>0</v>
      </c>
      <c r="AE68" s="69">
        <v>0</v>
      </c>
    </row>
    <row r="69" spans="1:55" ht="15.5" x14ac:dyDescent="0.35">
      <c r="A69" s="64">
        <v>2022</v>
      </c>
      <c r="B69" s="64">
        <v>4</v>
      </c>
      <c r="C69" s="65">
        <v>44470</v>
      </c>
      <c r="D69" s="65">
        <v>44561</v>
      </c>
      <c r="E69" s="72">
        <v>0</v>
      </c>
      <c r="F69" s="73">
        <v>0</v>
      </c>
      <c r="G69" s="73">
        <f t="shared" si="47"/>
        <v>0</v>
      </c>
      <c r="H69" s="73">
        <f t="shared" si="48"/>
        <v>0</v>
      </c>
      <c r="I69" s="74">
        <v>0</v>
      </c>
      <c r="J69" s="75">
        <v>0</v>
      </c>
      <c r="K69" s="76">
        <v>0</v>
      </c>
      <c r="L69" s="76">
        <f t="shared" ref="L69:L72" si="51">L68+J69</f>
        <v>0</v>
      </c>
      <c r="M69" s="76">
        <f t="shared" ref="M69:M71" si="52">SUM(M68+K69)</f>
        <v>0</v>
      </c>
      <c r="N69" s="78">
        <v>0</v>
      </c>
      <c r="O69" s="75">
        <v>0</v>
      </c>
      <c r="P69" s="76">
        <v>0</v>
      </c>
      <c r="Q69" s="76">
        <f t="shared" si="49"/>
        <v>0</v>
      </c>
      <c r="R69" s="76">
        <f t="shared" si="50"/>
        <v>0</v>
      </c>
      <c r="S69" s="78">
        <v>0</v>
      </c>
      <c r="T69" s="75">
        <v>0</v>
      </c>
      <c r="U69" s="76">
        <v>0</v>
      </c>
      <c r="V69" s="76">
        <f t="shared" ref="V69:V72" si="53">V68+T69</f>
        <v>0</v>
      </c>
      <c r="W69" s="76">
        <f t="shared" ref="W69:W71" si="54">SUM(W68+U69)</f>
        <v>0</v>
      </c>
      <c r="X69" s="78">
        <v>0</v>
      </c>
      <c r="Y69" s="75">
        <v>0</v>
      </c>
      <c r="Z69" s="76">
        <v>0</v>
      </c>
      <c r="AA69" s="76">
        <f t="shared" ref="AA69:AA72" si="55">AA68+Y69</f>
        <v>0</v>
      </c>
      <c r="AB69" s="76">
        <f t="shared" ref="AB69:AB71" si="56">SUM(AB68+Z69)</f>
        <v>0</v>
      </c>
      <c r="AC69" s="78">
        <v>0</v>
      </c>
      <c r="AD69" s="68">
        <v>0</v>
      </c>
      <c r="AE69" s="69">
        <v>0</v>
      </c>
    </row>
    <row r="70" spans="1:55" ht="15.5" x14ac:dyDescent="0.35">
      <c r="A70" s="64">
        <v>2022</v>
      </c>
      <c r="B70" s="64">
        <v>1</v>
      </c>
      <c r="C70" s="65">
        <v>44562</v>
      </c>
      <c r="D70" s="65">
        <v>44651</v>
      </c>
      <c r="E70" s="72">
        <v>0</v>
      </c>
      <c r="F70" s="73">
        <v>0</v>
      </c>
      <c r="G70" s="73">
        <f>G69+E70</f>
        <v>0</v>
      </c>
      <c r="H70" s="73">
        <f t="shared" si="48"/>
        <v>0</v>
      </c>
      <c r="I70" s="74">
        <v>0</v>
      </c>
      <c r="J70" s="75">
        <v>0</v>
      </c>
      <c r="K70" s="76">
        <v>0</v>
      </c>
      <c r="L70" s="76">
        <f t="shared" si="51"/>
        <v>0</v>
      </c>
      <c r="M70" s="76">
        <f t="shared" si="52"/>
        <v>0</v>
      </c>
      <c r="N70" s="78">
        <v>0</v>
      </c>
      <c r="O70" s="75">
        <v>0</v>
      </c>
      <c r="P70" s="76">
        <v>0</v>
      </c>
      <c r="Q70" s="76">
        <f t="shared" si="49"/>
        <v>0</v>
      </c>
      <c r="R70" s="76">
        <f t="shared" si="50"/>
        <v>0</v>
      </c>
      <c r="S70" s="78">
        <v>0</v>
      </c>
      <c r="T70" s="75">
        <v>0</v>
      </c>
      <c r="U70" s="76">
        <v>0</v>
      </c>
      <c r="V70" s="76">
        <f t="shared" si="53"/>
        <v>0</v>
      </c>
      <c r="W70" s="76">
        <f t="shared" si="54"/>
        <v>0</v>
      </c>
      <c r="X70" s="78">
        <v>0</v>
      </c>
      <c r="Y70" s="75">
        <v>0</v>
      </c>
      <c r="Z70" s="76">
        <v>0</v>
      </c>
      <c r="AA70" s="76">
        <f t="shared" si="55"/>
        <v>0</v>
      </c>
      <c r="AB70" s="76">
        <f t="shared" si="56"/>
        <v>0</v>
      </c>
      <c r="AC70" s="78">
        <v>0</v>
      </c>
      <c r="AD70" s="68">
        <v>0</v>
      </c>
      <c r="AE70" s="69">
        <v>0</v>
      </c>
    </row>
    <row r="71" spans="1:55" ht="15.5" x14ac:dyDescent="0.35">
      <c r="A71" s="64">
        <v>2022</v>
      </c>
      <c r="B71" s="64">
        <v>2</v>
      </c>
      <c r="C71" s="65">
        <v>44652</v>
      </c>
      <c r="D71" s="65">
        <v>44742</v>
      </c>
      <c r="E71" s="72">
        <f>$E$89/12</f>
        <v>407629.16666666669</v>
      </c>
      <c r="F71" s="73">
        <v>0</v>
      </c>
      <c r="G71" s="73">
        <f t="shared" ref="G71:G72" si="57">G70+E71</f>
        <v>407629.16666666669</v>
      </c>
      <c r="H71" s="73">
        <f t="shared" si="48"/>
        <v>0</v>
      </c>
      <c r="I71" s="74">
        <f t="shared" ref="I71:I85" si="58">H71/G71</f>
        <v>0</v>
      </c>
      <c r="J71" s="75">
        <f>$J$89/12</f>
        <v>15000</v>
      </c>
      <c r="K71" s="76">
        <v>0</v>
      </c>
      <c r="L71" s="76">
        <f t="shared" si="51"/>
        <v>15000</v>
      </c>
      <c r="M71" s="76">
        <f t="shared" si="52"/>
        <v>0</v>
      </c>
      <c r="N71" s="78">
        <f t="shared" ref="N71:N72" si="59">M71/L71</f>
        <v>0</v>
      </c>
      <c r="O71" s="75">
        <v>0</v>
      </c>
      <c r="P71" s="76">
        <v>0</v>
      </c>
      <c r="Q71" s="76">
        <f t="shared" si="49"/>
        <v>0</v>
      </c>
      <c r="R71" s="76">
        <f t="shared" si="50"/>
        <v>0</v>
      </c>
      <c r="S71" s="78">
        <v>0</v>
      </c>
      <c r="T71" s="75">
        <f>$T$89/12</f>
        <v>1199761.0833333333</v>
      </c>
      <c r="U71" s="76">
        <v>0</v>
      </c>
      <c r="V71" s="76">
        <f t="shared" si="53"/>
        <v>1199761.0833333333</v>
      </c>
      <c r="W71" s="76">
        <f t="shared" si="54"/>
        <v>0</v>
      </c>
      <c r="X71" s="78">
        <f t="shared" ref="X71:X72" si="60">W71/V71</f>
        <v>0</v>
      </c>
      <c r="Y71" s="75">
        <f>$Y$89/12</f>
        <v>1666.6666666666667</v>
      </c>
      <c r="Z71" s="76">
        <v>0</v>
      </c>
      <c r="AA71" s="76">
        <f t="shared" si="55"/>
        <v>1666.6666666666667</v>
      </c>
      <c r="AB71" s="76">
        <f t="shared" si="56"/>
        <v>0</v>
      </c>
      <c r="AC71" s="78">
        <f t="shared" ref="AC71:AC72" si="61">AB71/AA71</f>
        <v>0</v>
      </c>
      <c r="AD71" s="68">
        <v>0</v>
      </c>
      <c r="AE71" s="69">
        <v>0</v>
      </c>
    </row>
    <row r="72" spans="1:55" ht="15.5" x14ac:dyDescent="0.35">
      <c r="A72" s="64">
        <v>2022</v>
      </c>
      <c r="B72" s="64">
        <v>3</v>
      </c>
      <c r="C72" s="65">
        <v>44743</v>
      </c>
      <c r="D72" s="65">
        <v>44834</v>
      </c>
      <c r="E72" s="72">
        <f t="shared" ref="E72:E82" si="62">$E$89/12</f>
        <v>407629.16666666669</v>
      </c>
      <c r="F72" s="73">
        <v>197181</v>
      </c>
      <c r="G72" s="73">
        <f t="shared" si="57"/>
        <v>815258.33333333337</v>
      </c>
      <c r="H72" s="73">
        <f t="shared" si="48"/>
        <v>197181</v>
      </c>
      <c r="I72" s="74">
        <f t="shared" si="58"/>
        <v>0.24186321309196471</v>
      </c>
      <c r="J72" s="75">
        <f t="shared" ref="J72:J82" si="63">$J$89/12</f>
        <v>15000</v>
      </c>
      <c r="K72" s="76">
        <v>5946</v>
      </c>
      <c r="L72" s="76">
        <f t="shared" si="51"/>
        <v>30000</v>
      </c>
      <c r="M72" s="76">
        <f>SUM(M71+K72)</f>
        <v>5946</v>
      </c>
      <c r="N72" s="78">
        <f t="shared" si="59"/>
        <v>0.19819999999999999</v>
      </c>
      <c r="O72" s="75">
        <v>0</v>
      </c>
      <c r="P72" s="76">
        <v>0</v>
      </c>
      <c r="Q72" s="76">
        <f t="shared" si="49"/>
        <v>0</v>
      </c>
      <c r="R72" s="76">
        <f t="shared" si="50"/>
        <v>0</v>
      </c>
      <c r="S72" s="78">
        <v>0</v>
      </c>
      <c r="T72" s="75">
        <f t="shared" ref="T72:T82" si="64">$T$89/12</f>
        <v>1199761.0833333333</v>
      </c>
      <c r="U72" s="76">
        <v>8201</v>
      </c>
      <c r="V72" s="76">
        <f t="shared" si="53"/>
        <v>2399522.1666666665</v>
      </c>
      <c r="W72" s="76">
        <f>SUM(W71+U72)</f>
        <v>8201</v>
      </c>
      <c r="X72" s="78">
        <f t="shared" si="60"/>
        <v>3.4177638006122469E-3</v>
      </c>
      <c r="Y72" s="75">
        <f t="shared" ref="Y72:Y82" si="65">$Y$89/12</f>
        <v>1666.6666666666667</v>
      </c>
      <c r="Z72" s="76">
        <v>0</v>
      </c>
      <c r="AA72" s="76">
        <f t="shared" si="55"/>
        <v>3333.3333333333335</v>
      </c>
      <c r="AB72" s="76">
        <f>SUM(AB71+Z72)</f>
        <v>0</v>
      </c>
      <c r="AC72" s="78">
        <f t="shared" si="61"/>
        <v>0</v>
      </c>
      <c r="AD72" s="68">
        <v>0</v>
      </c>
      <c r="AE72" s="69">
        <v>0</v>
      </c>
    </row>
    <row r="73" spans="1:55" ht="15.5" x14ac:dyDescent="0.35">
      <c r="A73" s="64">
        <v>2022</v>
      </c>
      <c r="B73" s="64">
        <v>4</v>
      </c>
      <c r="C73" s="65">
        <v>44835</v>
      </c>
      <c r="D73" s="65">
        <v>44926</v>
      </c>
      <c r="E73" s="72">
        <f t="shared" si="62"/>
        <v>407629.16666666669</v>
      </c>
      <c r="F73" s="73">
        <v>747331</v>
      </c>
      <c r="G73" s="73">
        <f>G72+E73</f>
        <v>1222887.5</v>
      </c>
      <c r="H73" s="73">
        <f>SUM(H72+F73)</f>
        <v>944512</v>
      </c>
      <c r="I73" s="74">
        <f t="shared" si="58"/>
        <v>0.77236213470167947</v>
      </c>
      <c r="J73" s="75">
        <f t="shared" si="63"/>
        <v>15000</v>
      </c>
      <c r="K73" s="76">
        <v>29730</v>
      </c>
      <c r="L73" s="76">
        <f>L72+J73</f>
        <v>45000</v>
      </c>
      <c r="M73" s="76">
        <f>SUM(M72+K73)</f>
        <v>35676</v>
      </c>
      <c r="N73" s="78">
        <f>M73/L73</f>
        <v>0.79279999999999995</v>
      </c>
      <c r="O73" s="75">
        <v>0</v>
      </c>
      <c r="P73" s="76">
        <v>0</v>
      </c>
      <c r="Q73" s="76">
        <f t="shared" si="49"/>
        <v>0</v>
      </c>
      <c r="R73" s="76">
        <f t="shared" si="50"/>
        <v>0</v>
      </c>
      <c r="S73" s="78">
        <v>0</v>
      </c>
      <c r="T73" s="75">
        <f t="shared" si="64"/>
        <v>1199761.0833333333</v>
      </c>
      <c r="U73" s="76">
        <v>2073733</v>
      </c>
      <c r="V73" s="76">
        <f>V72+T73</f>
        <v>3599283.25</v>
      </c>
      <c r="W73" s="76">
        <f>SUM(W72+U73)</f>
        <v>2081934</v>
      </c>
      <c r="X73" s="78">
        <f>W73/V73</f>
        <v>0.57843016383886992</v>
      </c>
      <c r="Y73" s="75">
        <f t="shared" si="65"/>
        <v>1666.6666666666667</v>
      </c>
      <c r="Z73" s="76">
        <v>0</v>
      </c>
      <c r="AA73" s="76">
        <f>AA72+Y73</f>
        <v>5000</v>
      </c>
      <c r="AB73" s="76">
        <f>SUM(AB72+Z73)</f>
        <v>0</v>
      </c>
      <c r="AC73" s="78">
        <f>AB73/AA73</f>
        <v>0</v>
      </c>
      <c r="AD73" s="68">
        <v>0</v>
      </c>
      <c r="AE73" s="69">
        <v>0</v>
      </c>
    </row>
    <row r="74" spans="1:55" ht="15.5" x14ac:dyDescent="0.35">
      <c r="A74" s="64">
        <v>2023</v>
      </c>
      <c r="B74" s="64">
        <v>1</v>
      </c>
      <c r="C74" s="65">
        <v>44927</v>
      </c>
      <c r="D74" s="65">
        <v>45016</v>
      </c>
      <c r="E74" s="72">
        <f t="shared" si="62"/>
        <v>407629.16666666669</v>
      </c>
      <c r="F74" s="73">
        <f>428839+505248+401996</f>
        <v>1336083</v>
      </c>
      <c r="G74" s="73">
        <f t="shared" ref="G74:G88" si="66">G73+E74</f>
        <v>1630516.6666666667</v>
      </c>
      <c r="H74" s="73">
        <f t="shared" ref="H74:H87" si="67">SUM(H73+F74)</f>
        <v>2280595</v>
      </c>
      <c r="I74" s="74">
        <f t="shared" si="58"/>
        <v>1.3986946877779027</v>
      </c>
      <c r="J74" s="75">
        <f t="shared" si="63"/>
        <v>15000</v>
      </c>
      <c r="K74" s="76">
        <v>0</v>
      </c>
      <c r="L74" s="76">
        <f>L73+J74</f>
        <v>60000</v>
      </c>
      <c r="M74" s="76">
        <f t="shared" ref="M74:M88" si="68">SUM(M73+K74)</f>
        <v>35676</v>
      </c>
      <c r="N74" s="78">
        <f t="shared" ref="N74:N88" si="69">M74/L74</f>
        <v>0.59460000000000002</v>
      </c>
      <c r="O74" s="75">
        <v>0</v>
      </c>
      <c r="P74" s="76">
        <v>0</v>
      </c>
      <c r="Q74" s="76">
        <f t="shared" si="49"/>
        <v>0</v>
      </c>
      <c r="R74" s="76">
        <f t="shared" si="50"/>
        <v>0</v>
      </c>
      <c r="S74" s="78">
        <v>0</v>
      </c>
      <c r="T74" s="75">
        <f t="shared" si="64"/>
        <v>1199761.0833333333</v>
      </c>
      <c r="U74" s="76">
        <v>4526975.1900000004</v>
      </c>
      <c r="V74" s="76">
        <f>V73+T74</f>
        <v>4799044.333333333</v>
      </c>
      <c r="W74" s="76">
        <f t="shared" ref="W74:W88" si="70">SUM(W73+U74)</f>
        <v>6608909.1900000004</v>
      </c>
      <c r="X74" s="78">
        <f t="shared" ref="X74:X88" si="71">W74/V74</f>
        <v>1.3771302640602128</v>
      </c>
      <c r="Y74" s="75">
        <f t="shared" si="65"/>
        <v>1666.6666666666667</v>
      </c>
      <c r="Z74" s="76">
        <v>17838</v>
      </c>
      <c r="AA74" s="76">
        <f>AA73+Y74</f>
        <v>6666.666666666667</v>
      </c>
      <c r="AB74" s="76">
        <f t="shared" ref="AB74:AB88" si="72">SUM(AB73+Z74)</f>
        <v>17838</v>
      </c>
      <c r="AC74" s="78">
        <f t="shared" ref="AC74:AC88" si="73">AB74/AA74</f>
        <v>2.6757</v>
      </c>
      <c r="AD74" s="68">
        <v>0</v>
      </c>
      <c r="AE74" s="69">
        <v>0</v>
      </c>
    </row>
    <row r="75" spans="1:55" ht="15.5" x14ac:dyDescent="0.35">
      <c r="A75" s="64">
        <v>2023</v>
      </c>
      <c r="B75" s="64">
        <v>2</v>
      </c>
      <c r="C75" s="65">
        <v>45017</v>
      </c>
      <c r="D75" s="65">
        <v>45107</v>
      </c>
      <c r="E75" s="72">
        <f t="shared" si="62"/>
        <v>407629.16666666669</v>
      </c>
      <c r="F75" s="73">
        <f>577136.8+459765.03+398300.26</f>
        <v>1435202.09</v>
      </c>
      <c r="G75" s="73">
        <f t="shared" si="66"/>
        <v>2038145.8333333335</v>
      </c>
      <c r="H75" s="73">
        <f t="shared" si="67"/>
        <v>3715797.09</v>
      </c>
      <c r="I75" s="74">
        <f t="shared" si="58"/>
        <v>1.8231262107103063</v>
      </c>
      <c r="J75" s="75">
        <f t="shared" si="63"/>
        <v>15000</v>
      </c>
      <c r="K75" s="76">
        <v>331.78</v>
      </c>
      <c r="L75" s="76">
        <f t="shared" ref="L75" si="74">L74+J75</f>
        <v>75000</v>
      </c>
      <c r="M75" s="76">
        <f t="shared" si="68"/>
        <v>36007.78</v>
      </c>
      <c r="N75" s="78">
        <f t="shared" si="69"/>
        <v>0.48010373333333334</v>
      </c>
      <c r="O75" s="75">
        <v>0</v>
      </c>
      <c r="P75" s="76">
        <v>0</v>
      </c>
      <c r="Q75" s="76">
        <f t="shared" si="49"/>
        <v>0</v>
      </c>
      <c r="R75" s="76">
        <f t="shared" si="50"/>
        <v>0</v>
      </c>
      <c r="S75" s="78">
        <v>0</v>
      </c>
      <c r="T75" s="75">
        <f t="shared" si="64"/>
        <v>1199761.0833333333</v>
      </c>
      <c r="U75" s="76">
        <v>780303.78</v>
      </c>
      <c r="V75" s="76">
        <f t="shared" ref="V75" si="75">V74+T75</f>
        <v>5998805.416666666</v>
      </c>
      <c r="W75" s="76">
        <f t="shared" si="70"/>
        <v>7389212.9700000007</v>
      </c>
      <c r="X75" s="78">
        <f t="shared" si="71"/>
        <v>1.2317807391235465</v>
      </c>
      <c r="Y75" s="75">
        <f t="shared" si="65"/>
        <v>1666.6666666666667</v>
      </c>
      <c r="Z75" s="76">
        <v>0</v>
      </c>
      <c r="AA75" s="76">
        <f t="shared" ref="AA75" si="76">AA74+Y75</f>
        <v>8333.3333333333339</v>
      </c>
      <c r="AB75" s="76">
        <f t="shared" si="72"/>
        <v>17838</v>
      </c>
      <c r="AC75" s="78">
        <f t="shared" si="73"/>
        <v>2.1405599999999998</v>
      </c>
      <c r="AD75" s="68">
        <v>0</v>
      </c>
      <c r="AE75" s="69">
        <v>0</v>
      </c>
    </row>
    <row r="76" spans="1:55" ht="15.5" x14ac:dyDescent="0.35">
      <c r="A76" s="64">
        <v>2023</v>
      </c>
      <c r="B76" s="64">
        <v>3</v>
      </c>
      <c r="C76" s="65">
        <v>45108</v>
      </c>
      <c r="D76" s="65">
        <v>45199</v>
      </c>
      <c r="E76" s="72">
        <f t="shared" si="62"/>
        <v>407629.16666666669</v>
      </c>
      <c r="F76" s="73">
        <f>698770.27+589773.39</f>
        <v>1288543.6600000001</v>
      </c>
      <c r="G76" s="73">
        <f t="shared" si="66"/>
        <v>2445775</v>
      </c>
      <c r="H76" s="73">
        <f t="shared" si="67"/>
        <v>5004340.75</v>
      </c>
      <c r="I76" s="74">
        <f t="shared" si="58"/>
        <v>2.0461165683678999</v>
      </c>
      <c r="J76" s="75">
        <f t="shared" si="63"/>
        <v>15000</v>
      </c>
      <c r="K76" s="76">
        <v>0</v>
      </c>
      <c r="L76" s="76">
        <f>L75+J76</f>
        <v>90000</v>
      </c>
      <c r="M76" s="76">
        <f t="shared" si="68"/>
        <v>36007.78</v>
      </c>
      <c r="N76" s="78">
        <f t="shared" si="69"/>
        <v>0.40008644444444441</v>
      </c>
      <c r="O76" s="75">
        <v>0</v>
      </c>
      <c r="P76" s="76">
        <v>0</v>
      </c>
      <c r="Q76" s="76">
        <f t="shared" si="49"/>
        <v>0</v>
      </c>
      <c r="R76" s="76">
        <f t="shared" si="50"/>
        <v>0</v>
      </c>
      <c r="S76" s="78">
        <v>0</v>
      </c>
      <c r="T76" s="75">
        <f t="shared" si="64"/>
        <v>1199761.0833333333</v>
      </c>
      <c r="U76" s="76">
        <v>2532753.52</v>
      </c>
      <c r="V76" s="76">
        <f>V75+T76</f>
        <v>7198566.4999999991</v>
      </c>
      <c r="W76" s="76">
        <f t="shared" si="70"/>
        <v>9921966.4900000002</v>
      </c>
      <c r="X76" s="78">
        <f t="shared" si="71"/>
        <v>1.3783253221318441</v>
      </c>
      <c r="Y76" s="75">
        <f t="shared" si="65"/>
        <v>1666.6666666666667</v>
      </c>
      <c r="Z76" s="76">
        <v>0</v>
      </c>
      <c r="AA76" s="76">
        <f>AA75+Y76</f>
        <v>10000</v>
      </c>
      <c r="AB76" s="76">
        <f t="shared" si="72"/>
        <v>17838</v>
      </c>
      <c r="AC76" s="78">
        <f t="shared" si="73"/>
        <v>1.7838000000000001</v>
      </c>
      <c r="AD76" s="68">
        <v>0</v>
      </c>
      <c r="AE76" s="69">
        <v>2</v>
      </c>
    </row>
    <row r="77" spans="1:55" ht="15.5" x14ac:dyDescent="0.35">
      <c r="A77" s="64">
        <v>2023</v>
      </c>
      <c r="B77" s="64">
        <v>4</v>
      </c>
      <c r="C77" s="65">
        <v>45200</v>
      </c>
      <c r="D77" s="65">
        <v>45291</v>
      </c>
      <c r="E77" s="72">
        <f t="shared" si="62"/>
        <v>407629.16666666669</v>
      </c>
      <c r="F77" s="73">
        <v>-601945.75</v>
      </c>
      <c r="G77" s="73">
        <f t="shared" si="66"/>
        <v>2853404.1666666665</v>
      </c>
      <c r="H77" s="73">
        <f t="shared" si="67"/>
        <v>4402395</v>
      </c>
      <c r="I77" s="74">
        <f t="shared" si="58"/>
        <v>1.5428571428571429</v>
      </c>
      <c r="J77" s="75">
        <f t="shared" si="63"/>
        <v>15000</v>
      </c>
      <c r="K77" s="76">
        <v>17804.830000000002</v>
      </c>
      <c r="L77" s="76">
        <f t="shared" ref="L77:L88" si="77">L76+J77</f>
        <v>105000</v>
      </c>
      <c r="M77" s="76">
        <f t="shared" si="68"/>
        <v>53812.61</v>
      </c>
      <c r="N77" s="78">
        <f t="shared" si="69"/>
        <v>0.51250104761904758</v>
      </c>
      <c r="O77" s="75">
        <v>0</v>
      </c>
      <c r="P77" s="76">
        <v>0</v>
      </c>
      <c r="Q77" s="76">
        <v>0</v>
      </c>
      <c r="R77" s="76">
        <v>0</v>
      </c>
      <c r="S77" s="78">
        <v>0</v>
      </c>
      <c r="T77" s="75">
        <f t="shared" si="64"/>
        <v>1199761.0833333333</v>
      </c>
      <c r="U77" s="76">
        <f>2772737</f>
        <v>2772737</v>
      </c>
      <c r="V77" s="76">
        <f t="shared" ref="V77:V88" si="78">V76+T77</f>
        <v>8398327.5833333321</v>
      </c>
      <c r="W77" s="76">
        <f t="shared" si="70"/>
        <v>12694703.49</v>
      </c>
      <c r="X77" s="78">
        <f t="shared" si="71"/>
        <v>1.5115751754186062</v>
      </c>
      <c r="Y77" s="75">
        <f t="shared" si="65"/>
        <v>1666.6666666666667</v>
      </c>
      <c r="Z77" s="76">
        <v>0</v>
      </c>
      <c r="AA77" s="76">
        <f t="shared" ref="AA77:AA88" si="79">AA76+Y77</f>
        <v>11666.666666666666</v>
      </c>
      <c r="AB77" s="76">
        <f t="shared" si="72"/>
        <v>17838</v>
      </c>
      <c r="AC77" s="78">
        <f t="shared" si="73"/>
        <v>1.5289714285714286</v>
      </c>
      <c r="AD77" s="68">
        <v>0</v>
      </c>
      <c r="AE77" s="69">
        <v>15</v>
      </c>
    </row>
    <row r="78" spans="1:55" ht="15.5" x14ac:dyDescent="0.35">
      <c r="A78" s="64">
        <v>2024</v>
      </c>
      <c r="B78" s="64">
        <v>1</v>
      </c>
      <c r="C78" s="65">
        <v>45292</v>
      </c>
      <c r="D78" s="65">
        <v>45382</v>
      </c>
      <c r="E78" s="72">
        <f t="shared" si="62"/>
        <v>407629.16666666669</v>
      </c>
      <c r="F78" s="73">
        <v>0</v>
      </c>
      <c r="G78" s="73">
        <f t="shared" si="66"/>
        <v>3261033.333333333</v>
      </c>
      <c r="H78" s="73">
        <f t="shared" si="67"/>
        <v>4402395</v>
      </c>
      <c r="I78" s="74">
        <f t="shared" si="58"/>
        <v>1.35</v>
      </c>
      <c r="J78" s="75">
        <f t="shared" si="63"/>
        <v>15000</v>
      </c>
      <c r="K78" s="76">
        <v>47951.21</v>
      </c>
      <c r="L78" s="76">
        <f t="shared" si="77"/>
        <v>120000</v>
      </c>
      <c r="M78" s="76">
        <f t="shared" si="68"/>
        <v>101763.82</v>
      </c>
      <c r="N78" s="78">
        <f t="shared" si="69"/>
        <v>0.84803183333333343</v>
      </c>
      <c r="O78" s="75">
        <v>0</v>
      </c>
      <c r="P78" s="76">
        <v>47669.69</v>
      </c>
      <c r="Q78" s="76">
        <f t="shared" si="49"/>
        <v>0</v>
      </c>
      <c r="R78" s="76">
        <f t="shared" si="50"/>
        <v>47669.69</v>
      </c>
      <c r="S78" s="78">
        <v>0</v>
      </c>
      <c r="T78" s="75">
        <f t="shared" si="64"/>
        <v>1199761.0833333333</v>
      </c>
      <c r="U78" s="76">
        <f>262716.21+(910556.02)</f>
        <v>1173272.23</v>
      </c>
      <c r="V78" s="76">
        <f t="shared" si="78"/>
        <v>9598088.666666666</v>
      </c>
      <c r="W78" s="76">
        <f t="shared" si="70"/>
        <v>13867975.720000001</v>
      </c>
      <c r="X78" s="78">
        <f t="shared" si="71"/>
        <v>1.4448684734662105</v>
      </c>
      <c r="Y78" s="75">
        <f t="shared" si="65"/>
        <v>1666.6666666666667</v>
      </c>
      <c r="Z78" s="76">
        <v>2162</v>
      </c>
      <c r="AA78" s="76">
        <f t="shared" si="79"/>
        <v>13333.333333333332</v>
      </c>
      <c r="AB78" s="76">
        <f t="shared" si="72"/>
        <v>20000</v>
      </c>
      <c r="AC78" s="78">
        <f t="shared" si="73"/>
        <v>1.5000000000000002</v>
      </c>
      <c r="AD78" s="68">
        <v>0</v>
      </c>
      <c r="AE78" s="69">
        <v>1</v>
      </c>
    </row>
    <row r="79" spans="1:55" ht="15.5" x14ac:dyDescent="0.35">
      <c r="A79" s="64">
        <v>2024</v>
      </c>
      <c r="B79" s="64">
        <v>2</v>
      </c>
      <c r="C79" s="65">
        <v>45383</v>
      </c>
      <c r="D79" s="65">
        <v>45473</v>
      </c>
      <c r="E79" s="72">
        <f t="shared" si="62"/>
        <v>407629.16666666669</v>
      </c>
      <c r="F79" s="73">
        <v>0</v>
      </c>
      <c r="G79" s="73">
        <f t="shared" si="66"/>
        <v>3668662.4999999995</v>
      </c>
      <c r="H79" s="73">
        <f t="shared" si="67"/>
        <v>4402395</v>
      </c>
      <c r="I79" s="74">
        <f t="shared" si="58"/>
        <v>1.2000000000000002</v>
      </c>
      <c r="J79" s="75">
        <f t="shared" si="63"/>
        <v>15000</v>
      </c>
      <c r="K79" s="76">
        <v>0</v>
      </c>
      <c r="L79" s="76">
        <f t="shared" si="77"/>
        <v>135000</v>
      </c>
      <c r="M79" s="76">
        <f t="shared" si="68"/>
        <v>101763.82</v>
      </c>
      <c r="N79" s="78">
        <f t="shared" si="69"/>
        <v>0.75380607407407407</v>
      </c>
      <c r="O79" s="75">
        <v>0</v>
      </c>
      <c r="P79" s="76">
        <v>0</v>
      </c>
      <c r="Q79" s="76">
        <f t="shared" si="49"/>
        <v>0</v>
      </c>
      <c r="R79" s="76">
        <f t="shared" si="50"/>
        <v>47669.69</v>
      </c>
      <c r="S79" s="78">
        <v>0</v>
      </c>
      <c r="T79" s="75">
        <f t="shared" si="64"/>
        <v>1199761.0833333333</v>
      </c>
      <c r="U79" s="76">
        <v>0</v>
      </c>
      <c r="V79" s="76">
        <f t="shared" si="78"/>
        <v>10797849.75</v>
      </c>
      <c r="W79" s="76">
        <f t="shared" si="70"/>
        <v>13867975.720000001</v>
      </c>
      <c r="X79" s="78">
        <f t="shared" si="71"/>
        <v>1.2843275319699647</v>
      </c>
      <c r="Y79" s="75">
        <f t="shared" si="65"/>
        <v>1666.6666666666667</v>
      </c>
      <c r="Z79" s="76">
        <v>0</v>
      </c>
      <c r="AA79" s="76">
        <f t="shared" si="79"/>
        <v>14999.999999999998</v>
      </c>
      <c r="AB79" s="76">
        <f t="shared" si="72"/>
        <v>20000</v>
      </c>
      <c r="AC79" s="78">
        <f t="shared" si="73"/>
        <v>1.3333333333333335</v>
      </c>
      <c r="AD79" s="68">
        <v>0</v>
      </c>
      <c r="AE79" s="69">
        <v>0</v>
      </c>
    </row>
    <row r="80" spans="1:55" ht="15.5" x14ac:dyDescent="0.35">
      <c r="A80" s="64">
        <v>2024</v>
      </c>
      <c r="B80" s="64">
        <v>3</v>
      </c>
      <c r="C80" s="65">
        <v>45474</v>
      </c>
      <c r="D80" s="65">
        <v>45565</v>
      </c>
      <c r="E80" s="72">
        <f t="shared" si="62"/>
        <v>407629.16666666669</v>
      </c>
      <c r="F80" s="73">
        <v>0</v>
      </c>
      <c r="G80" s="73">
        <f t="shared" si="66"/>
        <v>4076291.666666666</v>
      </c>
      <c r="H80" s="73">
        <f t="shared" si="67"/>
        <v>4402395</v>
      </c>
      <c r="I80" s="128">
        <f t="shared" si="58"/>
        <v>1.08</v>
      </c>
      <c r="J80" s="75">
        <f t="shared" si="63"/>
        <v>15000</v>
      </c>
      <c r="K80" s="77">
        <v>0</v>
      </c>
      <c r="L80" s="77">
        <f t="shared" si="77"/>
        <v>150000</v>
      </c>
      <c r="M80" s="77">
        <f t="shared" si="68"/>
        <v>101763.82</v>
      </c>
      <c r="N80" s="78">
        <f t="shared" si="69"/>
        <v>0.6784254666666667</v>
      </c>
      <c r="O80" s="75">
        <v>0</v>
      </c>
      <c r="P80" s="77">
        <v>0</v>
      </c>
      <c r="Q80" s="77">
        <f t="shared" si="49"/>
        <v>0</v>
      </c>
      <c r="R80" s="77">
        <f t="shared" si="50"/>
        <v>47669.69</v>
      </c>
      <c r="S80" s="78">
        <v>0</v>
      </c>
      <c r="T80" s="75">
        <f t="shared" si="64"/>
        <v>1199761.0833333333</v>
      </c>
      <c r="U80" s="77">
        <v>529157.28</v>
      </c>
      <c r="V80" s="77">
        <f t="shared" si="78"/>
        <v>11997610.833333334</v>
      </c>
      <c r="W80" s="77">
        <f t="shared" si="70"/>
        <v>14397133</v>
      </c>
      <c r="X80" s="78">
        <f t="shared" si="71"/>
        <v>1.2</v>
      </c>
      <c r="Y80" s="75">
        <f t="shared" si="65"/>
        <v>1666.6666666666667</v>
      </c>
      <c r="Z80" s="77"/>
      <c r="AA80" s="77">
        <f t="shared" si="79"/>
        <v>16666.666666666664</v>
      </c>
      <c r="AB80" s="77">
        <f t="shared" si="72"/>
        <v>20000</v>
      </c>
      <c r="AC80" s="78">
        <f t="shared" si="73"/>
        <v>1.2000000000000002</v>
      </c>
      <c r="AD80" s="14">
        <v>0</v>
      </c>
      <c r="AE80" s="3">
        <v>0</v>
      </c>
    </row>
    <row r="81" spans="1:37" ht="15.5" x14ac:dyDescent="0.35">
      <c r="A81" s="1">
        <v>2024</v>
      </c>
      <c r="B81" s="1">
        <v>4</v>
      </c>
      <c r="C81" s="2">
        <v>45566</v>
      </c>
      <c r="D81" s="2">
        <v>45657</v>
      </c>
      <c r="E81" s="21">
        <f t="shared" si="62"/>
        <v>407629.16666666669</v>
      </c>
      <c r="F81" s="18"/>
      <c r="G81" s="18">
        <f t="shared" si="66"/>
        <v>4483920.833333333</v>
      </c>
      <c r="H81" s="18">
        <f t="shared" si="67"/>
        <v>4402395</v>
      </c>
      <c r="I81" s="24">
        <f t="shared" si="58"/>
        <v>0.98181818181818192</v>
      </c>
      <c r="J81" s="10">
        <f t="shared" si="63"/>
        <v>15000</v>
      </c>
      <c r="K81" s="4"/>
      <c r="L81" s="4">
        <f t="shared" si="77"/>
        <v>165000</v>
      </c>
      <c r="M81" s="4">
        <f t="shared" si="68"/>
        <v>101763.82</v>
      </c>
      <c r="N81" s="16">
        <f t="shared" si="69"/>
        <v>0.61675042424242432</v>
      </c>
      <c r="O81" s="11">
        <v>0</v>
      </c>
      <c r="P81" s="4"/>
      <c r="Q81" s="4">
        <f t="shared" si="49"/>
        <v>0</v>
      </c>
      <c r="R81" s="4">
        <f t="shared" si="50"/>
        <v>47669.69</v>
      </c>
      <c r="S81" s="16" t="e">
        <f t="shared" ref="S81:S89" si="80">R81/Q81</f>
        <v>#DIV/0!</v>
      </c>
      <c r="T81" s="75">
        <f t="shared" si="64"/>
        <v>1199761.0833333333</v>
      </c>
      <c r="U81" s="77"/>
      <c r="V81" s="77">
        <f t="shared" si="78"/>
        <v>13197371.916666668</v>
      </c>
      <c r="W81" s="77">
        <f t="shared" si="70"/>
        <v>14397133</v>
      </c>
      <c r="X81" s="78">
        <f t="shared" si="71"/>
        <v>1.0909090909090908</v>
      </c>
      <c r="Y81" s="75">
        <f t="shared" si="65"/>
        <v>1666.6666666666667</v>
      </c>
      <c r="Z81" s="77"/>
      <c r="AA81" s="77">
        <f t="shared" si="79"/>
        <v>18333.333333333332</v>
      </c>
      <c r="AB81" s="77">
        <f t="shared" si="72"/>
        <v>20000</v>
      </c>
      <c r="AC81" s="78">
        <f t="shared" si="73"/>
        <v>1.0909090909090911</v>
      </c>
      <c r="AD81" s="14">
        <v>0</v>
      </c>
      <c r="AE81" s="3"/>
    </row>
    <row r="82" spans="1:37" ht="15.5" x14ac:dyDescent="0.35">
      <c r="A82" s="1">
        <v>2025</v>
      </c>
      <c r="B82" s="1">
        <v>1</v>
      </c>
      <c r="C82" s="2">
        <v>45658</v>
      </c>
      <c r="D82" s="2">
        <v>45747</v>
      </c>
      <c r="E82" s="21">
        <f t="shared" si="62"/>
        <v>407629.16666666669</v>
      </c>
      <c r="F82" s="18"/>
      <c r="G82" s="18">
        <f t="shared" si="66"/>
        <v>4891550</v>
      </c>
      <c r="H82" s="18">
        <f t="shared" si="67"/>
        <v>4402395</v>
      </c>
      <c r="I82" s="24">
        <f t="shared" si="58"/>
        <v>0.9</v>
      </c>
      <c r="J82" s="10">
        <f t="shared" si="63"/>
        <v>15000</v>
      </c>
      <c r="K82" s="4"/>
      <c r="L82" s="4">
        <f t="shared" si="77"/>
        <v>180000</v>
      </c>
      <c r="M82" s="4">
        <f t="shared" si="68"/>
        <v>101763.82</v>
      </c>
      <c r="N82" s="16">
        <f t="shared" si="69"/>
        <v>0.56535455555555558</v>
      </c>
      <c r="O82" s="11">
        <v>720000</v>
      </c>
      <c r="P82" s="4"/>
      <c r="Q82" s="4">
        <f t="shared" si="49"/>
        <v>720000</v>
      </c>
      <c r="R82" s="4">
        <f t="shared" si="50"/>
        <v>47669.69</v>
      </c>
      <c r="S82" s="16">
        <f t="shared" si="80"/>
        <v>6.6207902777777786E-2</v>
      </c>
      <c r="T82" s="75">
        <f t="shared" si="64"/>
        <v>1199761.0833333333</v>
      </c>
      <c r="U82" s="77"/>
      <c r="V82" s="77">
        <f t="shared" si="78"/>
        <v>14397133.000000002</v>
      </c>
      <c r="W82" s="77">
        <f t="shared" si="70"/>
        <v>14397133</v>
      </c>
      <c r="X82" s="78">
        <f t="shared" si="71"/>
        <v>0.99999999999999989</v>
      </c>
      <c r="Y82" s="75">
        <f t="shared" si="65"/>
        <v>1666.6666666666667</v>
      </c>
      <c r="Z82" s="77"/>
      <c r="AA82" s="77">
        <f t="shared" si="79"/>
        <v>20000</v>
      </c>
      <c r="AB82" s="77">
        <f t="shared" si="72"/>
        <v>20000</v>
      </c>
      <c r="AC82" s="78">
        <f t="shared" si="73"/>
        <v>1</v>
      </c>
      <c r="AD82" s="14">
        <v>36</v>
      </c>
      <c r="AE82" s="3"/>
    </row>
    <row r="83" spans="1:37" ht="15.5" x14ac:dyDescent="0.35">
      <c r="A83" s="1">
        <v>2025</v>
      </c>
      <c r="B83" s="1">
        <v>2</v>
      </c>
      <c r="C83" s="2">
        <v>45748</v>
      </c>
      <c r="D83" s="2">
        <v>45838</v>
      </c>
      <c r="E83" s="22">
        <v>0</v>
      </c>
      <c r="F83" s="18"/>
      <c r="G83" s="18">
        <f t="shared" si="66"/>
        <v>4891550</v>
      </c>
      <c r="H83" s="18">
        <f t="shared" si="67"/>
        <v>4402395</v>
      </c>
      <c r="I83" s="24">
        <f t="shared" si="58"/>
        <v>0.9</v>
      </c>
      <c r="J83" s="11">
        <v>0</v>
      </c>
      <c r="K83" s="4"/>
      <c r="L83" s="4">
        <f t="shared" si="77"/>
        <v>180000</v>
      </c>
      <c r="M83" s="4">
        <f t="shared" si="68"/>
        <v>101763.82</v>
      </c>
      <c r="N83" s="16">
        <f t="shared" si="69"/>
        <v>0.56535455555555558</v>
      </c>
      <c r="O83" s="11">
        <v>0</v>
      </c>
      <c r="P83" s="4"/>
      <c r="Q83" s="4">
        <f t="shared" si="49"/>
        <v>720000</v>
      </c>
      <c r="R83" s="4">
        <f t="shared" si="50"/>
        <v>47669.69</v>
      </c>
      <c r="S83" s="16">
        <f t="shared" si="80"/>
        <v>6.6207902777777786E-2</v>
      </c>
      <c r="T83" s="75">
        <v>0</v>
      </c>
      <c r="U83" s="77"/>
      <c r="V83" s="77">
        <f t="shared" si="78"/>
        <v>14397133.000000002</v>
      </c>
      <c r="W83" s="77">
        <f t="shared" si="70"/>
        <v>14397133</v>
      </c>
      <c r="X83" s="78">
        <f t="shared" si="71"/>
        <v>0.99999999999999989</v>
      </c>
      <c r="Y83" s="75">
        <v>0</v>
      </c>
      <c r="Z83" s="77"/>
      <c r="AA83" s="77">
        <f t="shared" si="79"/>
        <v>20000</v>
      </c>
      <c r="AB83" s="77">
        <f t="shared" si="72"/>
        <v>20000</v>
      </c>
      <c r="AC83" s="78">
        <f t="shared" si="73"/>
        <v>1</v>
      </c>
      <c r="AD83" s="14"/>
      <c r="AE83" s="3"/>
    </row>
    <row r="84" spans="1:37" ht="15.5" x14ac:dyDescent="0.35">
      <c r="A84" s="1">
        <v>2025</v>
      </c>
      <c r="B84" s="1">
        <v>3</v>
      </c>
      <c r="C84" s="2">
        <v>45839</v>
      </c>
      <c r="D84" s="2">
        <v>45930</v>
      </c>
      <c r="E84" s="22">
        <v>0</v>
      </c>
      <c r="F84" s="18"/>
      <c r="G84" s="18">
        <f t="shared" si="66"/>
        <v>4891550</v>
      </c>
      <c r="H84" s="18">
        <f t="shared" si="67"/>
        <v>4402395</v>
      </c>
      <c r="I84" s="24">
        <f t="shared" si="58"/>
        <v>0.9</v>
      </c>
      <c r="J84" s="11">
        <v>0</v>
      </c>
      <c r="K84" s="4"/>
      <c r="L84" s="4">
        <f t="shared" si="77"/>
        <v>180000</v>
      </c>
      <c r="M84" s="4">
        <f t="shared" si="68"/>
        <v>101763.82</v>
      </c>
      <c r="N84" s="16">
        <f t="shared" si="69"/>
        <v>0.56535455555555558</v>
      </c>
      <c r="O84" s="11">
        <v>0</v>
      </c>
      <c r="P84" s="4"/>
      <c r="Q84" s="4">
        <f t="shared" si="49"/>
        <v>720000</v>
      </c>
      <c r="R84" s="4">
        <f t="shared" si="50"/>
        <v>47669.69</v>
      </c>
      <c r="S84" s="16">
        <f t="shared" si="80"/>
        <v>6.6207902777777786E-2</v>
      </c>
      <c r="T84" s="75">
        <v>0</v>
      </c>
      <c r="U84" s="77"/>
      <c r="V84" s="77">
        <f t="shared" si="78"/>
        <v>14397133.000000002</v>
      </c>
      <c r="W84" s="77">
        <f t="shared" si="70"/>
        <v>14397133</v>
      </c>
      <c r="X84" s="78">
        <f t="shared" si="71"/>
        <v>0.99999999999999989</v>
      </c>
      <c r="Y84" s="75">
        <v>0</v>
      </c>
      <c r="Z84" s="77"/>
      <c r="AA84" s="77">
        <f t="shared" si="79"/>
        <v>20000</v>
      </c>
      <c r="AB84" s="77">
        <f t="shared" si="72"/>
        <v>20000</v>
      </c>
      <c r="AC84" s="78">
        <f t="shared" si="73"/>
        <v>1</v>
      </c>
      <c r="AD84" s="14"/>
      <c r="AE84" s="3"/>
    </row>
    <row r="85" spans="1:37" ht="15.5" x14ac:dyDescent="0.35">
      <c r="A85" s="1">
        <v>2025</v>
      </c>
      <c r="B85" s="1">
        <v>4</v>
      </c>
      <c r="C85" s="2">
        <v>45931</v>
      </c>
      <c r="D85" s="2">
        <v>46022</v>
      </c>
      <c r="E85" s="22">
        <v>0</v>
      </c>
      <c r="F85" s="18"/>
      <c r="G85" s="18">
        <f t="shared" si="66"/>
        <v>4891550</v>
      </c>
      <c r="H85" s="18">
        <f t="shared" si="67"/>
        <v>4402395</v>
      </c>
      <c r="I85" s="24">
        <f t="shared" si="58"/>
        <v>0.9</v>
      </c>
      <c r="J85" s="11">
        <v>0</v>
      </c>
      <c r="K85" s="4"/>
      <c r="L85" s="4">
        <f t="shared" si="77"/>
        <v>180000</v>
      </c>
      <c r="M85" s="4">
        <f t="shared" si="68"/>
        <v>101763.82</v>
      </c>
      <c r="N85" s="16">
        <f t="shared" si="69"/>
        <v>0.56535455555555558</v>
      </c>
      <c r="O85" s="11">
        <v>0</v>
      </c>
      <c r="P85" s="4"/>
      <c r="Q85" s="4">
        <f t="shared" si="49"/>
        <v>720000</v>
      </c>
      <c r="R85" s="4">
        <f t="shared" si="50"/>
        <v>47669.69</v>
      </c>
      <c r="S85" s="16">
        <f t="shared" si="80"/>
        <v>6.6207902777777786E-2</v>
      </c>
      <c r="T85" s="75">
        <v>0</v>
      </c>
      <c r="U85" s="77"/>
      <c r="V85" s="77">
        <f t="shared" si="78"/>
        <v>14397133.000000002</v>
      </c>
      <c r="W85" s="77">
        <f t="shared" si="70"/>
        <v>14397133</v>
      </c>
      <c r="X85" s="78">
        <f t="shared" si="71"/>
        <v>0.99999999999999989</v>
      </c>
      <c r="Y85" s="75">
        <v>0</v>
      </c>
      <c r="Z85" s="77"/>
      <c r="AA85" s="77">
        <f t="shared" si="79"/>
        <v>20000</v>
      </c>
      <c r="AB85" s="77">
        <f t="shared" si="72"/>
        <v>20000</v>
      </c>
      <c r="AC85" s="78">
        <f t="shared" si="73"/>
        <v>1</v>
      </c>
      <c r="AD85" s="14"/>
      <c r="AE85" s="3"/>
    </row>
    <row r="86" spans="1:37" ht="15.5" x14ac:dyDescent="0.35">
      <c r="A86" s="1">
        <v>2026</v>
      </c>
      <c r="B86" s="1">
        <v>1</v>
      </c>
      <c r="C86" s="2">
        <v>46023</v>
      </c>
      <c r="D86" s="2">
        <v>46112</v>
      </c>
      <c r="E86" s="22">
        <v>0</v>
      </c>
      <c r="F86" s="18"/>
      <c r="G86" s="18">
        <f t="shared" si="66"/>
        <v>4891550</v>
      </c>
      <c r="H86" s="18">
        <f t="shared" si="67"/>
        <v>4402395</v>
      </c>
      <c r="I86" s="24">
        <f>H86/G86</f>
        <v>0.9</v>
      </c>
      <c r="J86" s="11">
        <v>0</v>
      </c>
      <c r="K86" s="4"/>
      <c r="L86" s="4">
        <f t="shared" si="77"/>
        <v>180000</v>
      </c>
      <c r="M86" s="4">
        <f t="shared" si="68"/>
        <v>101763.82</v>
      </c>
      <c r="N86" s="16">
        <f t="shared" si="69"/>
        <v>0.56535455555555558</v>
      </c>
      <c r="O86" s="11">
        <v>0</v>
      </c>
      <c r="P86" s="4"/>
      <c r="Q86" s="4">
        <f t="shared" si="49"/>
        <v>720000</v>
      </c>
      <c r="R86" s="4">
        <f t="shared" si="50"/>
        <v>47669.69</v>
      </c>
      <c r="S86" s="16">
        <f t="shared" si="80"/>
        <v>6.6207902777777786E-2</v>
      </c>
      <c r="T86" s="75">
        <v>0</v>
      </c>
      <c r="U86" s="77"/>
      <c r="V86" s="77">
        <f t="shared" si="78"/>
        <v>14397133.000000002</v>
      </c>
      <c r="W86" s="77">
        <f t="shared" si="70"/>
        <v>14397133</v>
      </c>
      <c r="X86" s="78">
        <f t="shared" si="71"/>
        <v>0.99999999999999989</v>
      </c>
      <c r="Y86" s="75">
        <v>0</v>
      </c>
      <c r="Z86" s="77"/>
      <c r="AA86" s="77">
        <f t="shared" si="79"/>
        <v>20000</v>
      </c>
      <c r="AB86" s="77">
        <f t="shared" si="72"/>
        <v>20000</v>
      </c>
      <c r="AC86" s="78">
        <f t="shared" si="73"/>
        <v>1</v>
      </c>
      <c r="AD86" s="14"/>
      <c r="AE86" s="3"/>
    </row>
    <row r="87" spans="1:37" ht="15.5" x14ac:dyDescent="0.35">
      <c r="A87" s="1">
        <v>2026</v>
      </c>
      <c r="B87" s="1">
        <v>2</v>
      </c>
      <c r="C87" s="2">
        <v>46113</v>
      </c>
      <c r="D87" s="2">
        <v>46203</v>
      </c>
      <c r="E87" s="22">
        <v>0</v>
      </c>
      <c r="F87" s="18"/>
      <c r="G87" s="18">
        <f t="shared" si="66"/>
        <v>4891550</v>
      </c>
      <c r="H87" s="18">
        <f t="shared" si="67"/>
        <v>4402395</v>
      </c>
      <c r="I87" s="24">
        <f t="shared" ref="I87:I88" si="81">H87/G87</f>
        <v>0.9</v>
      </c>
      <c r="J87" s="11">
        <v>0</v>
      </c>
      <c r="K87" s="4"/>
      <c r="L87" s="4">
        <f t="shared" si="77"/>
        <v>180000</v>
      </c>
      <c r="M87" s="4">
        <f t="shared" si="68"/>
        <v>101763.82</v>
      </c>
      <c r="N87" s="16">
        <f t="shared" si="69"/>
        <v>0.56535455555555558</v>
      </c>
      <c r="O87" s="11">
        <v>0</v>
      </c>
      <c r="P87" s="4"/>
      <c r="Q87" s="4">
        <f t="shared" si="49"/>
        <v>720000</v>
      </c>
      <c r="R87" s="4">
        <f t="shared" si="50"/>
        <v>47669.69</v>
      </c>
      <c r="S87" s="16">
        <f t="shared" si="80"/>
        <v>6.6207902777777786E-2</v>
      </c>
      <c r="T87" s="75">
        <v>0</v>
      </c>
      <c r="U87" s="77"/>
      <c r="V87" s="77">
        <f t="shared" si="78"/>
        <v>14397133.000000002</v>
      </c>
      <c r="W87" s="77">
        <f t="shared" si="70"/>
        <v>14397133</v>
      </c>
      <c r="X87" s="78">
        <f t="shared" si="71"/>
        <v>0.99999999999999989</v>
      </c>
      <c r="Y87" s="75">
        <v>0</v>
      </c>
      <c r="Z87" s="77"/>
      <c r="AA87" s="77">
        <f t="shared" si="79"/>
        <v>20000</v>
      </c>
      <c r="AB87" s="77">
        <f t="shared" si="72"/>
        <v>20000</v>
      </c>
      <c r="AC87" s="78">
        <f t="shared" si="73"/>
        <v>1</v>
      </c>
      <c r="AD87" s="14"/>
      <c r="AE87" s="3"/>
    </row>
    <row r="88" spans="1:37" ht="15.5" x14ac:dyDescent="0.35">
      <c r="A88" s="1">
        <v>2026</v>
      </c>
      <c r="B88" s="1">
        <v>3</v>
      </c>
      <c r="C88" s="2">
        <v>46204</v>
      </c>
      <c r="D88" s="2">
        <v>46295</v>
      </c>
      <c r="E88" s="22">
        <v>0</v>
      </c>
      <c r="F88" s="18"/>
      <c r="G88" s="18">
        <f t="shared" si="66"/>
        <v>4891550</v>
      </c>
      <c r="H88" s="18">
        <f>SUM(H87+F88)</f>
        <v>4402395</v>
      </c>
      <c r="I88" s="24">
        <f t="shared" si="81"/>
        <v>0.9</v>
      </c>
      <c r="J88" s="11">
        <v>0</v>
      </c>
      <c r="K88" s="15"/>
      <c r="L88" s="15">
        <f t="shared" si="77"/>
        <v>180000</v>
      </c>
      <c r="M88" s="15">
        <f t="shared" si="68"/>
        <v>101763.82</v>
      </c>
      <c r="N88" s="16">
        <f t="shared" si="69"/>
        <v>0.56535455555555558</v>
      </c>
      <c r="O88" s="11">
        <v>0</v>
      </c>
      <c r="P88" s="15"/>
      <c r="Q88" s="15">
        <f t="shared" si="49"/>
        <v>720000</v>
      </c>
      <c r="R88" s="15">
        <f t="shared" si="50"/>
        <v>47669.69</v>
      </c>
      <c r="S88" s="16">
        <f t="shared" si="80"/>
        <v>6.6207902777777786E-2</v>
      </c>
      <c r="T88" s="75">
        <v>0</v>
      </c>
      <c r="U88" s="132"/>
      <c r="V88" s="132">
        <f t="shared" si="78"/>
        <v>14397133.000000002</v>
      </c>
      <c r="W88" s="132">
        <f t="shared" si="70"/>
        <v>14397133</v>
      </c>
      <c r="X88" s="78">
        <f t="shared" si="71"/>
        <v>0.99999999999999989</v>
      </c>
      <c r="Y88" s="75">
        <v>0</v>
      </c>
      <c r="Z88" s="132"/>
      <c r="AA88" s="132">
        <f t="shared" si="79"/>
        <v>20000</v>
      </c>
      <c r="AB88" s="132">
        <f t="shared" si="72"/>
        <v>20000</v>
      </c>
      <c r="AC88" s="78">
        <f t="shared" si="73"/>
        <v>1</v>
      </c>
      <c r="AD88" s="14"/>
      <c r="AE88" s="3"/>
    </row>
    <row r="89" spans="1:37" ht="15" thickBot="1" x14ac:dyDescent="0.4">
      <c r="A89" s="36" t="s">
        <v>12</v>
      </c>
      <c r="B89" s="36"/>
      <c r="C89" s="36"/>
      <c r="D89" s="37"/>
      <c r="E89" s="38">
        <f>4402395+489155</f>
        <v>4891550</v>
      </c>
      <c r="F89" s="34">
        <f>SUM(F71:F82)</f>
        <v>4402395</v>
      </c>
      <c r="G89" s="34">
        <f>G88</f>
        <v>4891550</v>
      </c>
      <c r="H89" s="35">
        <f>H88</f>
        <v>4402395</v>
      </c>
      <c r="I89" s="45">
        <f>H89/G89</f>
        <v>0.9</v>
      </c>
      <c r="J89" s="39">
        <f>5000*36</f>
        <v>180000</v>
      </c>
      <c r="K89" s="46">
        <f>SUM(K65:K88)</f>
        <v>101763.82</v>
      </c>
      <c r="L89" s="40">
        <f>L88</f>
        <v>180000</v>
      </c>
      <c r="M89" s="41">
        <f>M88</f>
        <v>101763.82</v>
      </c>
      <c r="N89" s="42">
        <f>M89/L89</f>
        <v>0.56535455555555558</v>
      </c>
      <c r="O89" s="39">
        <v>720000</v>
      </c>
      <c r="P89" s="46">
        <f>SUM(P65:P88)</f>
        <v>47669.69</v>
      </c>
      <c r="Q89" s="40">
        <f>Q88</f>
        <v>720000</v>
      </c>
      <c r="R89" s="41">
        <f>R88</f>
        <v>47669.69</v>
      </c>
      <c r="S89" s="42">
        <f t="shared" si="80"/>
        <v>6.6207902777777786E-2</v>
      </c>
      <c r="T89" s="138">
        <f>12957419.7+1439713.3</f>
        <v>14397133</v>
      </c>
      <c r="U89" s="139">
        <f>SUM(U65:U88)</f>
        <v>14397133</v>
      </c>
      <c r="V89" s="140">
        <f>V88</f>
        <v>14397133.000000002</v>
      </c>
      <c r="W89" s="141">
        <f>W88</f>
        <v>14397133</v>
      </c>
      <c r="X89" s="142">
        <f>W89/V89</f>
        <v>0.99999999999999989</v>
      </c>
      <c r="Y89" s="138">
        <v>20000</v>
      </c>
      <c r="Z89" s="139">
        <f>SUM(Z65:Z88)</f>
        <v>20000</v>
      </c>
      <c r="AA89" s="140">
        <f>AA88</f>
        <v>20000</v>
      </c>
      <c r="AB89" s="141">
        <f>AB88</f>
        <v>20000</v>
      </c>
      <c r="AC89" s="142">
        <f>AB89/AA89</f>
        <v>1</v>
      </c>
      <c r="AD89" s="43">
        <f>SUM(AD65:AD88)</f>
        <v>36</v>
      </c>
      <c r="AE89" s="43">
        <f>SUM(AE65:AE88)</f>
        <v>18</v>
      </c>
    </row>
    <row r="90" spans="1:37" ht="15" thickTop="1" x14ac:dyDescent="0.35">
      <c r="A90" s="28"/>
      <c r="B90" s="28"/>
      <c r="C90" s="28"/>
      <c r="D90" s="28"/>
      <c r="E90" s="160">
        <f>E89+J89+O89</f>
        <v>5791550</v>
      </c>
      <c r="F90" s="29"/>
      <c r="G90" s="29"/>
      <c r="H90" s="30"/>
      <c r="I90" s="47"/>
      <c r="J90" s="31"/>
      <c r="K90" s="47"/>
      <c r="L90" s="29"/>
      <c r="M90" s="30"/>
      <c r="N90" s="44"/>
      <c r="O90" s="28"/>
      <c r="P90" s="28"/>
      <c r="T90" s="161">
        <f>T89+Y89</f>
        <v>14417133</v>
      </c>
    </row>
    <row r="91" spans="1:37" x14ac:dyDescent="0.35">
      <c r="A91" s="28"/>
      <c r="B91" s="28"/>
      <c r="C91" s="28"/>
      <c r="D91" s="28"/>
      <c r="E91" s="29"/>
      <c r="F91" s="29"/>
      <c r="G91" s="29"/>
      <c r="H91" s="30"/>
      <c r="I91" s="47"/>
      <c r="J91" s="31"/>
      <c r="K91" s="47"/>
      <c r="L91" s="29"/>
      <c r="M91" s="30"/>
      <c r="N91" s="44"/>
      <c r="O91" s="28"/>
      <c r="P91" s="28"/>
    </row>
    <row r="92" spans="1:37" x14ac:dyDescent="0.35">
      <c r="A92" s="198" t="s">
        <v>65</v>
      </c>
      <c r="B92" s="198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22"/>
      <c r="AG92" s="122"/>
      <c r="AH92" s="122"/>
      <c r="AI92" s="122"/>
      <c r="AJ92" s="122"/>
      <c r="AK92" s="122"/>
    </row>
    <row r="93" spans="1:37" ht="15" thickBot="1" x14ac:dyDescent="0.4">
      <c r="A93" s="202" t="s">
        <v>0</v>
      </c>
      <c r="B93" s="204"/>
      <c r="C93" s="204"/>
      <c r="D93" s="204"/>
      <c r="E93" s="193" t="s">
        <v>18</v>
      </c>
      <c r="F93" s="193"/>
      <c r="G93" s="193"/>
      <c r="H93" s="193"/>
      <c r="I93" s="194"/>
      <c r="J93" s="195" t="s">
        <v>17</v>
      </c>
      <c r="K93" s="196"/>
      <c r="L93" s="196"/>
      <c r="M93" s="196"/>
      <c r="N93" s="197"/>
      <c r="O93" s="205" t="s">
        <v>56</v>
      </c>
      <c r="P93" s="205"/>
      <c r="Q93" s="205"/>
      <c r="R93" s="205"/>
      <c r="S93" s="205"/>
      <c r="T93" s="199" t="s">
        <v>21</v>
      </c>
      <c r="U93" s="200"/>
      <c r="V93" s="200"/>
      <c r="W93" s="200"/>
      <c r="X93" s="201"/>
      <c r="Y93" s="195" t="s">
        <v>22</v>
      </c>
      <c r="Z93" s="196"/>
      <c r="AA93" s="196"/>
      <c r="AB93" s="196"/>
      <c r="AC93" s="197"/>
      <c r="AD93" s="202"/>
      <c r="AE93" s="203"/>
    </row>
    <row r="94" spans="1:37" ht="44" thickTop="1" x14ac:dyDescent="0.35">
      <c r="A94" s="7" t="s">
        <v>1</v>
      </c>
      <c r="B94" s="7" t="s">
        <v>2</v>
      </c>
      <c r="C94" s="7" t="s">
        <v>3</v>
      </c>
      <c r="D94" s="9" t="s">
        <v>9</v>
      </c>
      <c r="E94" s="19" t="s">
        <v>4</v>
      </c>
      <c r="F94" s="20" t="s">
        <v>6</v>
      </c>
      <c r="G94" s="20" t="s">
        <v>5</v>
      </c>
      <c r="H94" s="20" t="s">
        <v>7</v>
      </c>
      <c r="I94" s="23" t="s">
        <v>8</v>
      </c>
      <c r="J94" s="25" t="s">
        <v>4</v>
      </c>
      <c r="K94" s="26" t="s">
        <v>6</v>
      </c>
      <c r="L94" s="26" t="s">
        <v>5</v>
      </c>
      <c r="M94" s="26" t="s">
        <v>7</v>
      </c>
      <c r="N94" s="27" t="s">
        <v>8</v>
      </c>
      <c r="O94" s="84" t="s">
        <v>4</v>
      </c>
      <c r="P94" s="85" t="s">
        <v>6</v>
      </c>
      <c r="Q94" s="85" t="s">
        <v>5</v>
      </c>
      <c r="R94" s="85" t="s">
        <v>7</v>
      </c>
      <c r="S94" s="86" t="s">
        <v>8</v>
      </c>
      <c r="T94" s="25" t="s">
        <v>4</v>
      </c>
      <c r="U94" s="26" t="s">
        <v>6</v>
      </c>
      <c r="V94" s="26" t="s">
        <v>5</v>
      </c>
      <c r="W94" s="26" t="s">
        <v>7</v>
      </c>
      <c r="X94" s="27" t="s">
        <v>8</v>
      </c>
      <c r="Y94" s="25" t="s">
        <v>4</v>
      </c>
      <c r="Z94" s="26" t="s">
        <v>6</v>
      </c>
      <c r="AA94" s="26" t="s">
        <v>5</v>
      </c>
      <c r="AB94" s="26" t="s">
        <v>7</v>
      </c>
      <c r="AC94" s="27" t="s">
        <v>8</v>
      </c>
      <c r="AD94" s="13" t="s">
        <v>10</v>
      </c>
      <c r="AE94" s="8" t="s">
        <v>11</v>
      </c>
    </row>
    <row r="95" spans="1:37" ht="15.5" x14ac:dyDescent="0.35">
      <c r="A95" s="64">
        <v>2020</v>
      </c>
      <c r="B95" s="64">
        <v>4</v>
      </c>
      <c r="C95" s="65">
        <v>44105</v>
      </c>
      <c r="D95" s="65">
        <v>44196</v>
      </c>
      <c r="E95" s="66">
        <v>0</v>
      </c>
      <c r="F95" s="66">
        <v>0</v>
      </c>
      <c r="G95" s="66">
        <v>0</v>
      </c>
      <c r="H95" s="66">
        <v>0</v>
      </c>
      <c r="I95" s="67">
        <v>0</v>
      </c>
      <c r="J95" s="66">
        <v>0</v>
      </c>
      <c r="K95" s="66">
        <v>0</v>
      </c>
      <c r="L95" s="66">
        <v>0</v>
      </c>
      <c r="M95" s="66">
        <v>0</v>
      </c>
      <c r="N95" s="67">
        <v>0</v>
      </c>
      <c r="O95" s="66">
        <v>0</v>
      </c>
      <c r="P95" s="66">
        <v>0</v>
      </c>
      <c r="Q95" s="66">
        <v>0</v>
      </c>
      <c r="R95" s="66">
        <v>0</v>
      </c>
      <c r="S95" s="67">
        <v>0</v>
      </c>
      <c r="T95" s="66">
        <v>0</v>
      </c>
      <c r="U95" s="66">
        <v>0</v>
      </c>
      <c r="V95" s="66">
        <v>0</v>
      </c>
      <c r="W95" s="66">
        <v>0</v>
      </c>
      <c r="X95" s="67">
        <v>0</v>
      </c>
      <c r="Y95" s="66">
        <v>0</v>
      </c>
      <c r="Z95" s="66">
        <v>0</v>
      </c>
      <c r="AA95" s="66">
        <v>0</v>
      </c>
      <c r="AB95" s="66">
        <v>0</v>
      </c>
      <c r="AC95" s="67">
        <v>0</v>
      </c>
      <c r="AD95" s="68">
        <v>0</v>
      </c>
      <c r="AE95" s="69">
        <v>0</v>
      </c>
    </row>
    <row r="96" spans="1:37" ht="15.5" x14ac:dyDescent="0.35">
      <c r="A96" s="64">
        <v>2021</v>
      </c>
      <c r="B96" s="64">
        <v>1</v>
      </c>
      <c r="C96" s="65">
        <v>44197</v>
      </c>
      <c r="D96" s="65">
        <v>44286</v>
      </c>
      <c r="E96" s="66">
        <v>0</v>
      </c>
      <c r="F96" s="66">
        <v>0</v>
      </c>
      <c r="G96" s="66">
        <v>0</v>
      </c>
      <c r="H96" s="66">
        <v>0</v>
      </c>
      <c r="I96" s="67">
        <v>0</v>
      </c>
      <c r="J96" s="66">
        <v>0</v>
      </c>
      <c r="K96" s="66">
        <v>0</v>
      </c>
      <c r="L96" s="66">
        <v>0</v>
      </c>
      <c r="M96" s="66">
        <v>0</v>
      </c>
      <c r="N96" s="67">
        <v>0</v>
      </c>
      <c r="O96" s="66">
        <v>0</v>
      </c>
      <c r="P96" s="66">
        <v>0</v>
      </c>
      <c r="Q96" s="66">
        <v>0</v>
      </c>
      <c r="R96" s="66">
        <v>0</v>
      </c>
      <c r="S96" s="67">
        <v>0</v>
      </c>
      <c r="T96" s="66">
        <v>0</v>
      </c>
      <c r="U96" s="66">
        <v>0</v>
      </c>
      <c r="V96" s="66">
        <v>0</v>
      </c>
      <c r="W96" s="66">
        <v>0</v>
      </c>
      <c r="X96" s="67">
        <v>0</v>
      </c>
      <c r="Y96" s="66">
        <v>0</v>
      </c>
      <c r="Z96" s="66">
        <v>0</v>
      </c>
      <c r="AA96" s="66">
        <v>0</v>
      </c>
      <c r="AB96" s="66">
        <v>0</v>
      </c>
      <c r="AC96" s="67">
        <v>0</v>
      </c>
      <c r="AD96" s="68">
        <v>0</v>
      </c>
      <c r="AE96" s="69">
        <v>0</v>
      </c>
    </row>
    <row r="97" spans="1:55" s="108" customFormat="1" ht="15.5" x14ac:dyDescent="0.35">
      <c r="A97" s="89">
        <v>2021</v>
      </c>
      <c r="B97" s="89">
        <v>2</v>
      </c>
      <c r="C97" s="90">
        <v>44287</v>
      </c>
      <c r="D97" s="90">
        <v>44377</v>
      </c>
      <c r="E97" s="100">
        <v>0</v>
      </c>
      <c r="F97" s="92">
        <v>0</v>
      </c>
      <c r="G97" s="92">
        <f>E97</f>
        <v>0</v>
      </c>
      <c r="H97" s="92">
        <f>SUM(F97+0)</f>
        <v>0</v>
      </c>
      <c r="I97" s="101">
        <v>0</v>
      </c>
      <c r="J97" s="102">
        <v>0</v>
      </c>
      <c r="K97" s="103">
        <v>0</v>
      </c>
      <c r="L97" s="104">
        <f>J97</f>
        <v>0</v>
      </c>
      <c r="M97" s="103">
        <f>SUM(K97+0)</f>
        <v>0</v>
      </c>
      <c r="N97" s="105">
        <v>0</v>
      </c>
      <c r="O97" s="102">
        <v>0</v>
      </c>
      <c r="P97" s="103">
        <v>0</v>
      </c>
      <c r="Q97" s="104">
        <f>O97</f>
        <v>0</v>
      </c>
      <c r="R97" s="103">
        <f>SUM(P97+0)</f>
        <v>0</v>
      </c>
      <c r="S97" s="105">
        <v>0</v>
      </c>
      <c r="T97" s="102">
        <v>0</v>
      </c>
      <c r="U97" s="103">
        <v>0</v>
      </c>
      <c r="V97" s="104">
        <f>T97</f>
        <v>0</v>
      </c>
      <c r="W97" s="103">
        <f>SUM(U97+0)</f>
        <v>0</v>
      </c>
      <c r="X97" s="105">
        <v>0</v>
      </c>
      <c r="Y97" s="102">
        <v>0</v>
      </c>
      <c r="Z97" s="103">
        <v>0</v>
      </c>
      <c r="AA97" s="104">
        <f>Y97</f>
        <v>0</v>
      </c>
      <c r="AB97" s="103">
        <f>SUM(Z97+0)</f>
        <v>0</v>
      </c>
      <c r="AC97" s="105">
        <v>0</v>
      </c>
      <c r="AD97" s="106">
        <v>0</v>
      </c>
      <c r="AE97" s="107">
        <v>0</v>
      </c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</row>
    <row r="98" spans="1:55" ht="15.5" x14ac:dyDescent="0.35">
      <c r="A98" s="64">
        <v>2021</v>
      </c>
      <c r="B98" s="64">
        <v>3</v>
      </c>
      <c r="C98" s="65">
        <v>44378</v>
      </c>
      <c r="D98" s="65">
        <v>44469</v>
      </c>
      <c r="E98" s="72">
        <v>0</v>
      </c>
      <c r="F98" s="73"/>
      <c r="G98" s="73">
        <f t="shared" ref="G98:G99" si="82">G97+E98</f>
        <v>0</v>
      </c>
      <c r="H98" s="73">
        <f t="shared" ref="H98:H102" si="83">SUM(H97+F98)</f>
        <v>0</v>
      </c>
      <c r="I98" s="74">
        <v>0</v>
      </c>
      <c r="J98" s="75">
        <v>0</v>
      </c>
      <c r="K98" s="76"/>
      <c r="L98" s="76">
        <f>L97+J98</f>
        <v>0</v>
      </c>
      <c r="M98" s="76">
        <f>SUM(M97+K98)</f>
        <v>0</v>
      </c>
      <c r="N98" s="78">
        <v>0</v>
      </c>
      <c r="O98" s="75">
        <v>0</v>
      </c>
      <c r="P98" s="76"/>
      <c r="Q98" s="76">
        <f t="shared" ref="Q98:Q118" si="84">Q97+O98</f>
        <v>0</v>
      </c>
      <c r="R98" s="76">
        <f t="shared" ref="R98:R118" si="85">SUM(R97+P98)</f>
        <v>0</v>
      </c>
      <c r="S98" s="78">
        <v>0</v>
      </c>
      <c r="T98" s="75">
        <v>0</v>
      </c>
      <c r="U98" s="76"/>
      <c r="V98" s="76">
        <f>V97+T98</f>
        <v>0</v>
      </c>
      <c r="W98" s="76">
        <f>SUM(W97+U98)</f>
        <v>0</v>
      </c>
      <c r="X98" s="78">
        <v>0</v>
      </c>
      <c r="Y98" s="75">
        <v>0</v>
      </c>
      <c r="Z98" s="76"/>
      <c r="AA98" s="76">
        <f>AA97+Y98</f>
        <v>0</v>
      </c>
      <c r="AB98" s="76">
        <f>SUM(AB97+Z98)</f>
        <v>0</v>
      </c>
      <c r="AC98" s="78">
        <v>0</v>
      </c>
      <c r="AD98" s="68">
        <v>0</v>
      </c>
      <c r="AE98" s="69"/>
    </row>
    <row r="99" spans="1:55" ht="15.5" x14ac:dyDescent="0.35">
      <c r="A99" s="64">
        <v>2022</v>
      </c>
      <c r="B99" s="64">
        <v>4</v>
      </c>
      <c r="C99" s="65">
        <v>44470</v>
      </c>
      <c r="D99" s="65">
        <v>44561</v>
      </c>
      <c r="E99" s="72">
        <v>0</v>
      </c>
      <c r="F99" s="73">
        <v>0</v>
      </c>
      <c r="G99" s="73">
        <f t="shared" si="82"/>
        <v>0</v>
      </c>
      <c r="H99" s="73">
        <f t="shared" si="83"/>
        <v>0</v>
      </c>
      <c r="I99" s="74">
        <v>0</v>
      </c>
      <c r="J99" s="75">
        <v>0</v>
      </c>
      <c r="K99" s="76">
        <v>0</v>
      </c>
      <c r="L99" s="76">
        <f t="shared" ref="L99:L102" si="86">L98+J99</f>
        <v>0</v>
      </c>
      <c r="M99" s="76">
        <f t="shared" ref="M99:M101" si="87">SUM(M98+K99)</f>
        <v>0</v>
      </c>
      <c r="N99" s="78">
        <v>0</v>
      </c>
      <c r="O99" s="75">
        <v>0</v>
      </c>
      <c r="P99" s="76">
        <v>0</v>
      </c>
      <c r="Q99" s="76">
        <f t="shared" si="84"/>
        <v>0</v>
      </c>
      <c r="R99" s="76">
        <f t="shared" si="85"/>
        <v>0</v>
      </c>
      <c r="S99" s="78">
        <v>0</v>
      </c>
      <c r="T99" s="75">
        <v>0</v>
      </c>
      <c r="U99" s="76">
        <v>0</v>
      </c>
      <c r="V99" s="76">
        <f t="shared" ref="V99:V102" si="88">V98+T99</f>
        <v>0</v>
      </c>
      <c r="W99" s="76">
        <f t="shared" ref="W99:W101" si="89">SUM(W98+U99)</f>
        <v>0</v>
      </c>
      <c r="X99" s="78">
        <v>0</v>
      </c>
      <c r="Y99" s="75">
        <v>0</v>
      </c>
      <c r="Z99" s="76">
        <v>0</v>
      </c>
      <c r="AA99" s="76">
        <f t="shared" ref="AA99:AA102" si="90">AA98+Y99</f>
        <v>0</v>
      </c>
      <c r="AB99" s="76">
        <f t="shared" ref="AB99:AB101" si="91">SUM(AB98+Z99)</f>
        <v>0</v>
      </c>
      <c r="AC99" s="78">
        <v>0</v>
      </c>
      <c r="AD99" s="68">
        <v>0</v>
      </c>
      <c r="AE99" s="69">
        <v>0</v>
      </c>
    </row>
    <row r="100" spans="1:55" ht="15.5" x14ac:dyDescent="0.35">
      <c r="A100" s="64">
        <v>2022</v>
      </c>
      <c r="B100" s="64">
        <v>1</v>
      </c>
      <c r="C100" s="65">
        <v>44562</v>
      </c>
      <c r="D100" s="65">
        <v>44651</v>
      </c>
      <c r="E100" s="72">
        <v>0</v>
      </c>
      <c r="F100" s="73">
        <v>0</v>
      </c>
      <c r="G100" s="73">
        <f>G99+E100</f>
        <v>0</v>
      </c>
      <c r="H100" s="73">
        <f t="shared" si="83"/>
        <v>0</v>
      </c>
      <c r="I100" s="74">
        <v>0</v>
      </c>
      <c r="J100" s="75">
        <v>0</v>
      </c>
      <c r="K100" s="76">
        <v>0</v>
      </c>
      <c r="L100" s="76">
        <f t="shared" si="86"/>
        <v>0</v>
      </c>
      <c r="M100" s="76">
        <f t="shared" si="87"/>
        <v>0</v>
      </c>
      <c r="N100" s="78">
        <v>0</v>
      </c>
      <c r="O100" s="75">
        <v>0</v>
      </c>
      <c r="P100" s="76">
        <v>0</v>
      </c>
      <c r="Q100" s="76">
        <f t="shared" si="84"/>
        <v>0</v>
      </c>
      <c r="R100" s="76">
        <f t="shared" si="85"/>
        <v>0</v>
      </c>
      <c r="S100" s="78">
        <v>0</v>
      </c>
      <c r="T100" s="75">
        <v>0</v>
      </c>
      <c r="U100" s="76">
        <v>0</v>
      </c>
      <c r="V100" s="76">
        <f t="shared" si="88"/>
        <v>0</v>
      </c>
      <c r="W100" s="76">
        <f t="shared" si="89"/>
        <v>0</v>
      </c>
      <c r="X100" s="78">
        <v>0</v>
      </c>
      <c r="Y100" s="75">
        <v>0</v>
      </c>
      <c r="Z100" s="76">
        <v>0</v>
      </c>
      <c r="AA100" s="76">
        <f t="shared" si="90"/>
        <v>0</v>
      </c>
      <c r="AB100" s="76">
        <f t="shared" si="91"/>
        <v>0</v>
      </c>
      <c r="AC100" s="78">
        <v>0</v>
      </c>
      <c r="AD100" s="68">
        <v>0</v>
      </c>
      <c r="AE100" s="69">
        <v>0</v>
      </c>
    </row>
    <row r="101" spans="1:55" ht="15.5" x14ac:dyDescent="0.35">
      <c r="A101" s="64">
        <v>2022</v>
      </c>
      <c r="B101" s="64">
        <v>2</v>
      </c>
      <c r="C101" s="65">
        <v>44652</v>
      </c>
      <c r="D101" s="65">
        <v>44742</v>
      </c>
      <c r="E101" s="72">
        <f>$E$119/12</f>
        <v>293370</v>
      </c>
      <c r="F101" s="73">
        <v>0</v>
      </c>
      <c r="G101" s="73">
        <f t="shared" ref="G101:G102" si="92">G100+E101</f>
        <v>293370</v>
      </c>
      <c r="H101" s="73">
        <f t="shared" si="83"/>
        <v>0</v>
      </c>
      <c r="I101" s="74">
        <f t="shared" ref="I101:I115" si="93">H101/G101</f>
        <v>0</v>
      </c>
      <c r="J101" s="75">
        <f>$J$119/12</f>
        <v>18333.333333333332</v>
      </c>
      <c r="K101" s="76">
        <v>0</v>
      </c>
      <c r="L101" s="76">
        <f t="shared" si="86"/>
        <v>18333.333333333332</v>
      </c>
      <c r="M101" s="76">
        <f t="shared" si="87"/>
        <v>0</v>
      </c>
      <c r="N101" s="78">
        <f t="shared" ref="N101:N102" si="94">M101/L101</f>
        <v>0</v>
      </c>
      <c r="O101" s="75">
        <v>0</v>
      </c>
      <c r="P101" s="76">
        <v>0</v>
      </c>
      <c r="Q101" s="76">
        <f t="shared" si="84"/>
        <v>0</v>
      </c>
      <c r="R101" s="76">
        <f t="shared" si="85"/>
        <v>0</v>
      </c>
      <c r="S101" s="78">
        <v>0</v>
      </c>
      <c r="T101" s="75">
        <f>$T$119/12</f>
        <v>566183.25</v>
      </c>
      <c r="U101" s="76"/>
      <c r="V101" s="76">
        <f t="shared" si="88"/>
        <v>566183.25</v>
      </c>
      <c r="W101" s="76">
        <f t="shared" si="89"/>
        <v>0</v>
      </c>
      <c r="X101" s="78">
        <f t="shared" ref="X101:X102" si="95">W101/V101</f>
        <v>0</v>
      </c>
      <c r="Y101" s="75">
        <f>$Y$119/12</f>
        <v>1666.6666666666667</v>
      </c>
      <c r="Z101" s="76">
        <v>0</v>
      </c>
      <c r="AA101" s="76">
        <f t="shared" si="90"/>
        <v>1666.6666666666667</v>
      </c>
      <c r="AB101" s="76">
        <f t="shared" si="91"/>
        <v>0</v>
      </c>
      <c r="AC101" s="78">
        <f t="shared" ref="AC101:AC102" si="96">AB101/AA101</f>
        <v>0</v>
      </c>
      <c r="AD101" s="68">
        <v>0</v>
      </c>
      <c r="AE101" s="69">
        <v>0</v>
      </c>
    </row>
    <row r="102" spans="1:55" ht="15.5" x14ac:dyDescent="0.35">
      <c r="A102" s="64">
        <v>2022</v>
      </c>
      <c r="B102" s="64">
        <v>3</v>
      </c>
      <c r="C102" s="65">
        <v>44743</v>
      </c>
      <c r="D102" s="65">
        <v>44834</v>
      </c>
      <c r="E102" s="72">
        <f t="shared" ref="E102:E112" si="97">$E$119/12</f>
        <v>293370</v>
      </c>
      <c r="F102" s="73">
        <v>0</v>
      </c>
      <c r="G102" s="73">
        <f t="shared" si="92"/>
        <v>586740</v>
      </c>
      <c r="H102" s="73">
        <f t="shared" si="83"/>
        <v>0</v>
      </c>
      <c r="I102" s="74">
        <f t="shared" si="93"/>
        <v>0</v>
      </c>
      <c r="J102" s="75">
        <f t="shared" ref="J102:J112" si="98">$J$119/12</f>
        <v>18333.333333333332</v>
      </c>
      <c r="K102" s="76">
        <v>0</v>
      </c>
      <c r="L102" s="76">
        <f t="shared" si="86"/>
        <v>36666.666666666664</v>
      </c>
      <c r="M102" s="76">
        <f>SUM(M101+K102)</f>
        <v>0</v>
      </c>
      <c r="N102" s="78">
        <f t="shared" si="94"/>
        <v>0</v>
      </c>
      <c r="O102" s="75">
        <v>0</v>
      </c>
      <c r="P102" s="76">
        <v>0</v>
      </c>
      <c r="Q102" s="76">
        <f t="shared" si="84"/>
        <v>0</v>
      </c>
      <c r="R102" s="76">
        <f t="shared" si="85"/>
        <v>0</v>
      </c>
      <c r="S102" s="78">
        <v>0</v>
      </c>
      <c r="T102" s="75">
        <f t="shared" ref="T102:T112" si="99">$T$119/12</f>
        <v>566183.25</v>
      </c>
      <c r="U102" s="76"/>
      <c r="V102" s="76">
        <f t="shared" si="88"/>
        <v>1132366.5</v>
      </c>
      <c r="W102" s="76">
        <f>SUM(W101+U102)</f>
        <v>0</v>
      </c>
      <c r="X102" s="78">
        <f t="shared" si="95"/>
        <v>0</v>
      </c>
      <c r="Y102" s="75">
        <f t="shared" ref="Y102:Y112" si="100">$Y$119/12</f>
        <v>1666.6666666666667</v>
      </c>
      <c r="Z102" s="76">
        <v>0</v>
      </c>
      <c r="AA102" s="76">
        <f t="shared" si="90"/>
        <v>3333.3333333333335</v>
      </c>
      <c r="AB102" s="76">
        <f>SUM(AB101+Z102)</f>
        <v>0</v>
      </c>
      <c r="AC102" s="78">
        <f t="shared" si="96"/>
        <v>0</v>
      </c>
      <c r="AD102" s="68">
        <v>0</v>
      </c>
      <c r="AE102" s="69">
        <v>0</v>
      </c>
    </row>
    <row r="103" spans="1:55" ht="15.5" x14ac:dyDescent="0.35">
      <c r="A103" s="64">
        <v>2022</v>
      </c>
      <c r="B103" s="64">
        <v>4</v>
      </c>
      <c r="C103" s="65">
        <v>44835</v>
      </c>
      <c r="D103" s="65">
        <v>44926</v>
      </c>
      <c r="E103" s="72">
        <f t="shared" si="97"/>
        <v>293370</v>
      </c>
      <c r="F103" s="73">
        <v>24315</v>
      </c>
      <c r="G103" s="73">
        <f>G102+E103</f>
        <v>880110</v>
      </c>
      <c r="H103" s="73">
        <f>SUM(H102+F103)</f>
        <v>24315</v>
      </c>
      <c r="I103" s="74">
        <f t="shared" si="93"/>
        <v>2.762722841462999E-2</v>
      </c>
      <c r="J103" s="75">
        <f t="shared" si="98"/>
        <v>18333.333333333332</v>
      </c>
      <c r="K103" s="76">
        <v>36207</v>
      </c>
      <c r="L103" s="76">
        <f>L102+J103</f>
        <v>55000</v>
      </c>
      <c r="M103" s="76">
        <f>SUM(M102+K103)</f>
        <v>36207</v>
      </c>
      <c r="N103" s="78">
        <f>M103/L103</f>
        <v>0.65830909090909095</v>
      </c>
      <c r="O103" s="75">
        <v>0</v>
      </c>
      <c r="P103" s="76">
        <v>0</v>
      </c>
      <c r="Q103" s="76">
        <f t="shared" si="84"/>
        <v>0</v>
      </c>
      <c r="R103" s="76">
        <f t="shared" si="85"/>
        <v>0</v>
      </c>
      <c r="S103" s="78">
        <v>0</v>
      </c>
      <c r="T103" s="75">
        <f t="shared" si="99"/>
        <v>566183.25</v>
      </c>
      <c r="U103" s="76">
        <v>1186695</v>
      </c>
      <c r="V103" s="76">
        <f>V102+T103</f>
        <v>1698549.75</v>
      </c>
      <c r="W103" s="76">
        <f>SUM(W102+U103)</f>
        <v>1186695</v>
      </c>
      <c r="X103" s="78">
        <f>W103/V103</f>
        <v>0.69865189406433337</v>
      </c>
      <c r="Y103" s="75">
        <f t="shared" si="100"/>
        <v>1666.6666666666667</v>
      </c>
      <c r="Z103" s="76">
        <v>11892</v>
      </c>
      <c r="AA103" s="76">
        <f>AA102+Y103</f>
        <v>5000</v>
      </c>
      <c r="AB103" s="76">
        <f>SUM(AB102+Z103)</f>
        <v>11892</v>
      </c>
      <c r="AC103" s="78">
        <f>AB103/AA103</f>
        <v>2.3784000000000001</v>
      </c>
      <c r="AD103" s="68">
        <v>0</v>
      </c>
      <c r="AE103" s="69">
        <v>0</v>
      </c>
    </row>
    <row r="104" spans="1:55" ht="15.5" x14ac:dyDescent="0.35">
      <c r="A104" s="64">
        <v>2023</v>
      </c>
      <c r="B104" s="64">
        <v>1</v>
      </c>
      <c r="C104" s="65">
        <v>44927</v>
      </c>
      <c r="D104" s="65">
        <v>45016</v>
      </c>
      <c r="E104" s="72">
        <f t="shared" si="97"/>
        <v>293370</v>
      </c>
      <c r="F104" s="73">
        <v>0</v>
      </c>
      <c r="G104" s="73">
        <f t="shared" ref="G104:G118" si="101">G103+E104</f>
        <v>1173480</v>
      </c>
      <c r="H104" s="73">
        <f t="shared" ref="H104:H117" si="102">SUM(H103+F104)</f>
        <v>24315</v>
      </c>
      <c r="I104" s="74">
        <f t="shared" si="93"/>
        <v>2.0720421310972494E-2</v>
      </c>
      <c r="J104" s="75">
        <f t="shared" si="98"/>
        <v>18333.333333333332</v>
      </c>
      <c r="K104" s="76">
        <v>11892</v>
      </c>
      <c r="L104" s="76">
        <f>L103+J104</f>
        <v>73333.333333333328</v>
      </c>
      <c r="M104" s="76">
        <f t="shared" ref="M104:M118" si="103">SUM(M103+K104)</f>
        <v>48099</v>
      </c>
      <c r="N104" s="78">
        <f t="shared" ref="N104:N118" si="104">M104/L104</f>
        <v>0.65589545454545461</v>
      </c>
      <c r="O104" s="75">
        <v>0</v>
      </c>
      <c r="P104" s="76">
        <v>0</v>
      </c>
      <c r="Q104" s="76">
        <f t="shared" si="84"/>
        <v>0</v>
      </c>
      <c r="R104" s="76">
        <f t="shared" si="85"/>
        <v>0</v>
      </c>
      <c r="S104" s="78">
        <v>0</v>
      </c>
      <c r="T104" s="75">
        <f t="shared" si="99"/>
        <v>566183.25</v>
      </c>
      <c r="U104" s="76">
        <v>800000</v>
      </c>
      <c r="V104" s="76">
        <f>V103+T104</f>
        <v>2264733</v>
      </c>
      <c r="W104" s="76">
        <f t="shared" ref="W104:W118" si="105">SUM(W103+U104)</f>
        <v>1986695</v>
      </c>
      <c r="X104" s="78">
        <f t="shared" ref="X104:X118" si="106">W104/V104</f>
        <v>0.87723144405985165</v>
      </c>
      <c r="Y104" s="75">
        <f t="shared" si="100"/>
        <v>1666.6666666666667</v>
      </c>
      <c r="Z104" s="76">
        <v>5946</v>
      </c>
      <c r="AA104" s="76">
        <f>AA103+Y104</f>
        <v>6666.666666666667</v>
      </c>
      <c r="AB104" s="76">
        <f t="shared" ref="AB104:AB118" si="107">SUM(AB103+Z104)</f>
        <v>17838</v>
      </c>
      <c r="AC104" s="78">
        <f t="shared" ref="AC104:AC118" si="108">AB104/AA104</f>
        <v>2.6757</v>
      </c>
      <c r="AD104" s="68">
        <v>0</v>
      </c>
      <c r="AE104" s="69">
        <v>0</v>
      </c>
    </row>
    <row r="105" spans="1:55" ht="15.5" x14ac:dyDescent="0.35">
      <c r="A105" s="64">
        <v>2023</v>
      </c>
      <c r="B105" s="64">
        <v>2</v>
      </c>
      <c r="C105" s="65">
        <v>45017</v>
      </c>
      <c r="D105" s="65">
        <v>45107</v>
      </c>
      <c r="E105" s="72">
        <f t="shared" si="97"/>
        <v>293370</v>
      </c>
      <c r="F105" s="73">
        <v>0</v>
      </c>
      <c r="G105" s="73">
        <f t="shared" si="101"/>
        <v>1466850</v>
      </c>
      <c r="H105" s="73">
        <f t="shared" si="102"/>
        <v>24315</v>
      </c>
      <c r="I105" s="74">
        <f t="shared" si="93"/>
        <v>1.6576337048777992E-2</v>
      </c>
      <c r="J105" s="75">
        <f t="shared" si="98"/>
        <v>18333.333333333332</v>
      </c>
      <c r="K105" s="76">
        <v>15790</v>
      </c>
      <c r="L105" s="76">
        <f t="shared" ref="L105" si="109">L104+J105</f>
        <v>91666.666666666657</v>
      </c>
      <c r="M105" s="76">
        <f t="shared" si="103"/>
        <v>63889</v>
      </c>
      <c r="N105" s="78">
        <f t="shared" si="104"/>
        <v>0.6969709090909092</v>
      </c>
      <c r="O105" s="75">
        <v>0</v>
      </c>
      <c r="P105" s="76">
        <v>0</v>
      </c>
      <c r="Q105" s="76">
        <f t="shared" si="84"/>
        <v>0</v>
      </c>
      <c r="R105" s="76">
        <f t="shared" si="85"/>
        <v>0</v>
      </c>
      <c r="S105" s="78">
        <v>0</v>
      </c>
      <c r="T105" s="75">
        <f t="shared" si="99"/>
        <v>566183.25</v>
      </c>
      <c r="U105" s="76">
        <v>1776449.36</v>
      </c>
      <c r="V105" s="76">
        <f t="shared" ref="V105" si="110">V104+T105</f>
        <v>2830916.25</v>
      </c>
      <c r="W105" s="76">
        <f t="shared" si="105"/>
        <v>3763144.3600000003</v>
      </c>
      <c r="X105" s="78">
        <f t="shared" si="106"/>
        <v>1.3293026100648511</v>
      </c>
      <c r="Y105" s="75">
        <f t="shared" si="100"/>
        <v>1666.6666666666667</v>
      </c>
      <c r="Z105" s="76">
        <v>2162</v>
      </c>
      <c r="AA105" s="76">
        <f t="shared" ref="AA105" si="111">AA104+Y105</f>
        <v>8333.3333333333339</v>
      </c>
      <c r="AB105" s="76">
        <f t="shared" si="107"/>
        <v>20000</v>
      </c>
      <c r="AC105" s="78">
        <f t="shared" si="108"/>
        <v>2.4</v>
      </c>
      <c r="AD105" s="68">
        <v>0</v>
      </c>
      <c r="AE105" s="69">
        <v>0</v>
      </c>
    </row>
    <row r="106" spans="1:55" ht="15.5" x14ac:dyDescent="0.35">
      <c r="A106" s="64">
        <v>2023</v>
      </c>
      <c r="B106" s="64">
        <v>3</v>
      </c>
      <c r="C106" s="65">
        <v>45108</v>
      </c>
      <c r="D106" s="65">
        <v>45199</v>
      </c>
      <c r="E106" s="72">
        <f t="shared" si="97"/>
        <v>293370</v>
      </c>
      <c r="F106" s="73">
        <v>0</v>
      </c>
      <c r="G106" s="73">
        <f t="shared" si="101"/>
        <v>1760220</v>
      </c>
      <c r="H106" s="73">
        <f t="shared" si="102"/>
        <v>24315</v>
      </c>
      <c r="I106" s="74">
        <f t="shared" si="93"/>
        <v>1.3813614207314995E-2</v>
      </c>
      <c r="J106" s="75">
        <f t="shared" si="98"/>
        <v>18333.333333333332</v>
      </c>
      <c r="K106" s="76">
        <v>0</v>
      </c>
      <c r="L106" s="76">
        <f>L105+J106</f>
        <v>109999.99999999999</v>
      </c>
      <c r="M106" s="76">
        <f t="shared" si="103"/>
        <v>63889</v>
      </c>
      <c r="N106" s="78">
        <f t="shared" si="104"/>
        <v>0.58080909090909094</v>
      </c>
      <c r="O106" s="75">
        <v>0</v>
      </c>
      <c r="P106" s="76">
        <v>0</v>
      </c>
      <c r="Q106" s="76">
        <f t="shared" si="84"/>
        <v>0</v>
      </c>
      <c r="R106" s="76">
        <f t="shared" si="85"/>
        <v>0</v>
      </c>
      <c r="S106" s="78">
        <v>0</v>
      </c>
      <c r="T106" s="75">
        <f t="shared" si="99"/>
        <v>566183.25</v>
      </c>
      <c r="U106" s="76">
        <v>0</v>
      </c>
      <c r="V106" s="76">
        <f>V105+T106</f>
        <v>3397099.5</v>
      </c>
      <c r="W106" s="76">
        <f t="shared" si="105"/>
        <v>3763144.3600000003</v>
      </c>
      <c r="X106" s="78">
        <f t="shared" si="106"/>
        <v>1.1077521750540424</v>
      </c>
      <c r="Y106" s="75">
        <f t="shared" si="100"/>
        <v>1666.6666666666667</v>
      </c>
      <c r="Z106" s="76">
        <v>0</v>
      </c>
      <c r="AA106" s="76">
        <f>AA105+Y106</f>
        <v>10000</v>
      </c>
      <c r="AB106" s="76">
        <f t="shared" si="107"/>
        <v>20000</v>
      </c>
      <c r="AC106" s="78">
        <f t="shared" si="108"/>
        <v>2</v>
      </c>
      <c r="AD106" s="68">
        <v>0</v>
      </c>
      <c r="AE106" s="69">
        <v>0</v>
      </c>
    </row>
    <row r="107" spans="1:55" ht="15.5" x14ac:dyDescent="0.35">
      <c r="A107" s="64">
        <v>2023</v>
      </c>
      <c r="B107" s="64">
        <v>4</v>
      </c>
      <c r="C107" s="65">
        <v>45200</v>
      </c>
      <c r="D107" s="65">
        <v>45291</v>
      </c>
      <c r="E107" s="72">
        <f t="shared" si="97"/>
        <v>293370</v>
      </c>
      <c r="F107" s="73">
        <v>0</v>
      </c>
      <c r="G107" s="73">
        <f t="shared" si="101"/>
        <v>2053590</v>
      </c>
      <c r="H107" s="73">
        <f t="shared" si="102"/>
        <v>24315</v>
      </c>
      <c r="I107" s="74">
        <f t="shared" si="93"/>
        <v>1.1840240749127139E-2</v>
      </c>
      <c r="J107" s="75">
        <f t="shared" si="98"/>
        <v>18333.333333333332</v>
      </c>
      <c r="K107" s="76">
        <v>0</v>
      </c>
      <c r="L107" s="76">
        <f t="shared" ref="L107:L118" si="112">L106+J107</f>
        <v>128333.33333333331</v>
      </c>
      <c r="M107" s="76">
        <f t="shared" si="103"/>
        <v>63889</v>
      </c>
      <c r="N107" s="78">
        <f t="shared" si="104"/>
        <v>0.49783636363636369</v>
      </c>
      <c r="O107" s="75">
        <v>0</v>
      </c>
      <c r="P107" s="76">
        <v>0</v>
      </c>
      <c r="Q107" s="76">
        <v>0</v>
      </c>
      <c r="R107" s="76">
        <v>0</v>
      </c>
      <c r="S107" s="78">
        <v>0</v>
      </c>
      <c r="T107" s="75">
        <f t="shared" si="99"/>
        <v>566183.25</v>
      </c>
      <c r="U107" s="76">
        <v>0</v>
      </c>
      <c r="V107" s="76">
        <f t="shared" ref="V107:V118" si="113">V106+T107</f>
        <v>3963282.75</v>
      </c>
      <c r="W107" s="76">
        <f t="shared" si="105"/>
        <v>3763144.3600000003</v>
      </c>
      <c r="X107" s="78">
        <f t="shared" si="106"/>
        <v>0.94950186433203643</v>
      </c>
      <c r="Y107" s="75">
        <f t="shared" si="100"/>
        <v>1666.6666666666667</v>
      </c>
      <c r="Z107" s="76">
        <v>0</v>
      </c>
      <c r="AA107" s="76">
        <f t="shared" ref="AA107:AA118" si="114">AA106+Y107</f>
        <v>11666.666666666666</v>
      </c>
      <c r="AB107" s="76">
        <f t="shared" si="107"/>
        <v>20000</v>
      </c>
      <c r="AC107" s="78">
        <f t="shared" si="108"/>
        <v>1.7142857142857144</v>
      </c>
      <c r="AD107" s="68">
        <v>0</v>
      </c>
      <c r="AE107" s="69">
        <v>0</v>
      </c>
    </row>
    <row r="108" spans="1:55" ht="15.5" x14ac:dyDescent="0.35">
      <c r="A108" s="64">
        <v>2024</v>
      </c>
      <c r="B108" s="64">
        <v>1</v>
      </c>
      <c r="C108" s="65">
        <v>45292</v>
      </c>
      <c r="D108" s="65">
        <v>45382</v>
      </c>
      <c r="E108" s="72">
        <f t="shared" si="97"/>
        <v>293370</v>
      </c>
      <c r="F108" s="73">
        <v>0</v>
      </c>
      <c r="G108" s="73">
        <f t="shared" si="101"/>
        <v>2346960</v>
      </c>
      <c r="H108" s="73">
        <f t="shared" si="102"/>
        <v>24315</v>
      </c>
      <c r="I108" s="74">
        <f t="shared" si="93"/>
        <v>1.0360210655486247E-2</v>
      </c>
      <c r="J108" s="75">
        <f t="shared" si="98"/>
        <v>18333.333333333332</v>
      </c>
      <c r="K108" s="76">
        <v>0</v>
      </c>
      <c r="L108" s="76">
        <f t="shared" si="112"/>
        <v>146666.66666666666</v>
      </c>
      <c r="M108" s="76">
        <f t="shared" si="103"/>
        <v>63889</v>
      </c>
      <c r="N108" s="78">
        <f t="shared" si="104"/>
        <v>0.43560681818181823</v>
      </c>
      <c r="O108" s="75">
        <v>0</v>
      </c>
      <c r="P108" s="76">
        <v>0</v>
      </c>
      <c r="Q108" s="76">
        <f t="shared" si="84"/>
        <v>0</v>
      </c>
      <c r="R108" s="76">
        <f t="shared" si="85"/>
        <v>0</v>
      </c>
      <c r="S108" s="78">
        <v>0</v>
      </c>
      <c r="T108" s="75">
        <f t="shared" si="99"/>
        <v>566183.25</v>
      </c>
      <c r="U108" s="76">
        <v>0</v>
      </c>
      <c r="V108" s="76">
        <f t="shared" si="113"/>
        <v>4529466</v>
      </c>
      <c r="W108" s="76">
        <f t="shared" si="105"/>
        <v>3763144.3600000003</v>
      </c>
      <c r="X108" s="78">
        <f t="shared" si="106"/>
        <v>0.83081413129053194</v>
      </c>
      <c r="Y108" s="75">
        <f t="shared" si="100"/>
        <v>1666.6666666666667</v>
      </c>
      <c r="Z108" s="76">
        <v>0</v>
      </c>
      <c r="AA108" s="76">
        <f t="shared" si="114"/>
        <v>13333.333333333332</v>
      </c>
      <c r="AB108" s="76">
        <f t="shared" si="107"/>
        <v>20000</v>
      </c>
      <c r="AC108" s="78">
        <f t="shared" si="108"/>
        <v>1.5000000000000002</v>
      </c>
      <c r="AD108" s="68">
        <v>0</v>
      </c>
      <c r="AE108" s="69">
        <v>0</v>
      </c>
    </row>
    <row r="109" spans="1:55" ht="15.5" x14ac:dyDescent="0.35">
      <c r="A109" s="64">
        <v>2024</v>
      </c>
      <c r="B109" s="64">
        <v>2</v>
      </c>
      <c r="C109" s="65">
        <v>45383</v>
      </c>
      <c r="D109" s="65">
        <v>45473</v>
      </c>
      <c r="E109" s="72">
        <f t="shared" si="97"/>
        <v>293370</v>
      </c>
      <c r="F109" s="73">
        <v>0</v>
      </c>
      <c r="G109" s="73">
        <f t="shared" si="101"/>
        <v>2640330</v>
      </c>
      <c r="H109" s="73">
        <f t="shared" si="102"/>
        <v>24315</v>
      </c>
      <c r="I109" s="74">
        <f t="shared" si="93"/>
        <v>9.2090761382099973E-3</v>
      </c>
      <c r="J109" s="75">
        <f t="shared" si="98"/>
        <v>18333.333333333332</v>
      </c>
      <c r="K109" s="76">
        <v>0</v>
      </c>
      <c r="L109" s="76">
        <f t="shared" si="112"/>
        <v>165000</v>
      </c>
      <c r="M109" s="76">
        <f t="shared" si="103"/>
        <v>63889</v>
      </c>
      <c r="N109" s="78">
        <f t="shared" si="104"/>
        <v>0.38720606060606061</v>
      </c>
      <c r="O109" s="75">
        <v>0</v>
      </c>
      <c r="P109" s="76">
        <v>0</v>
      </c>
      <c r="Q109" s="76">
        <f t="shared" si="84"/>
        <v>0</v>
      </c>
      <c r="R109" s="76">
        <f t="shared" si="85"/>
        <v>0</v>
      </c>
      <c r="S109" s="78">
        <v>0</v>
      </c>
      <c r="T109" s="75">
        <f t="shared" si="99"/>
        <v>566183.25</v>
      </c>
      <c r="U109" s="76">
        <v>0</v>
      </c>
      <c r="V109" s="76">
        <f t="shared" si="113"/>
        <v>5095649.25</v>
      </c>
      <c r="W109" s="76">
        <f t="shared" si="105"/>
        <v>3763144.3600000003</v>
      </c>
      <c r="X109" s="78">
        <f t="shared" si="106"/>
        <v>0.7385014500360283</v>
      </c>
      <c r="Y109" s="75">
        <f t="shared" si="100"/>
        <v>1666.6666666666667</v>
      </c>
      <c r="Z109" s="76">
        <v>0</v>
      </c>
      <c r="AA109" s="76">
        <f t="shared" si="114"/>
        <v>14999.999999999998</v>
      </c>
      <c r="AB109" s="76">
        <f t="shared" si="107"/>
        <v>20000</v>
      </c>
      <c r="AC109" s="78">
        <f t="shared" si="108"/>
        <v>1.3333333333333335</v>
      </c>
      <c r="AD109" s="68">
        <v>0</v>
      </c>
      <c r="AE109" s="69">
        <v>0</v>
      </c>
    </row>
    <row r="110" spans="1:55" ht="15.5" x14ac:dyDescent="0.35">
      <c r="A110" s="64">
        <v>2024</v>
      </c>
      <c r="B110" s="64">
        <v>3</v>
      </c>
      <c r="C110" s="65">
        <v>45474</v>
      </c>
      <c r="D110" s="65">
        <v>45565</v>
      </c>
      <c r="E110" s="72">
        <f t="shared" si="97"/>
        <v>293370</v>
      </c>
      <c r="F110" s="73">
        <v>0</v>
      </c>
      <c r="G110" s="73">
        <f t="shared" si="101"/>
        <v>2933700</v>
      </c>
      <c r="H110" s="73">
        <f t="shared" si="102"/>
        <v>24315</v>
      </c>
      <c r="I110" s="128">
        <f t="shared" si="93"/>
        <v>8.288168524388996E-3</v>
      </c>
      <c r="J110" s="75">
        <f t="shared" si="98"/>
        <v>18333.333333333332</v>
      </c>
      <c r="K110" s="77">
        <v>0</v>
      </c>
      <c r="L110" s="77">
        <f t="shared" si="112"/>
        <v>183333.33333333334</v>
      </c>
      <c r="M110" s="77">
        <f t="shared" si="103"/>
        <v>63889</v>
      </c>
      <c r="N110" s="78">
        <f t="shared" si="104"/>
        <v>0.34848545454545454</v>
      </c>
      <c r="O110" s="75">
        <v>0</v>
      </c>
      <c r="P110" s="77">
        <v>0</v>
      </c>
      <c r="Q110" s="77">
        <f t="shared" si="84"/>
        <v>0</v>
      </c>
      <c r="R110" s="77">
        <f t="shared" si="85"/>
        <v>0</v>
      </c>
      <c r="S110" s="78">
        <v>0</v>
      </c>
      <c r="T110" s="75">
        <f t="shared" si="99"/>
        <v>566183.25</v>
      </c>
      <c r="U110" s="77">
        <v>0</v>
      </c>
      <c r="V110" s="77">
        <f t="shared" si="113"/>
        <v>5661832.5</v>
      </c>
      <c r="W110" s="77">
        <f t="shared" si="105"/>
        <v>3763144.3600000003</v>
      </c>
      <c r="X110" s="78">
        <f t="shared" si="106"/>
        <v>0.66465130503242553</v>
      </c>
      <c r="Y110" s="75">
        <f t="shared" si="100"/>
        <v>1666.6666666666667</v>
      </c>
      <c r="Z110" s="77">
        <v>0</v>
      </c>
      <c r="AA110" s="77">
        <f t="shared" si="114"/>
        <v>16666.666666666664</v>
      </c>
      <c r="AB110" s="77">
        <f t="shared" si="107"/>
        <v>20000</v>
      </c>
      <c r="AC110" s="78">
        <f t="shared" si="108"/>
        <v>1.2000000000000002</v>
      </c>
      <c r="AD110" s="131">
        <v>0</v>
      </c>
      <c r="AE110" s="130">
        <v>0</v>
      </c>
    </row>
    <row r="111" spans="1:55" ht="15.5" x14ac:dyDescent="0.35">
      <c r="A111" s="1">
        <v>2024</v>
      </c>
      <c r="B111" s="1">
        <v>4</v>
      </c>
      <c r="C111" s="2">
        <v>45566</v>
      </c>
      <c r="D111" s="2">
        <v>45657</v>
      </c>
      <c r="E111" s="21">
        <f t="shared" si="97"/>
        <v>293370</v>
      </c>
      <c r="F111" s="18"/>
      <c r="G111" s="18">
        <f t="shared" si="101"/>
        <v>3227070</v>
      </c>
      <c r="H111" s="18">
        <f t="shared" si="102"/>
        <v>24315</v>
      </c>
      <c r="I111" s="24">
        <f t="shared" si="93"/>
        <v>7.5346986585354513E-3</v>
      </c>
      <c r="J111" s="10">
        <f t="shared" si="98"/>
        <v>18333.333333333332</v>
      </c>
      <c r="K111" s="4"/>
      <c r="L111" s="4">
        <f t="shared" si="112"/>
        <v>201666.66666666669</v>
      </c>
      <c r="M111" s="4">
        <f t="shared" si="103"/>
        <v>63889</v>
      </c>
      <c r="N111" s="16">
        <f t="shared" si="104"/>
        <v>0.31680495867768593</v>
      </c>
      <c r="O111" s="11">
        <v>0</v>
      </c>
      <c r="P111" s="4"/>
      <c r="Q111" s="4">
        <f t="shared" si="84"/>
        <v>0</v>
      </c>
      <c r="R111" s="4">
        <f t="shared" si="85"/>
        <v>0</v>
      </c>
      <c r="S111" s="16" t="e">
        <f t="shared" ref="S111:S119" si="115">R111/Q111</f>
        <v>#DIV/0!</v>
      </c>
      <c r="T111" s="10">
        <f t="shared" si="99"/>
        <v>566183.25</v>
      </c>
      <c r="U111" s="4"/>
      <c r="V111" s="4">
        <f t="shared" si="113"/>
        <v>6228015.75</v>
      </c>
      <c r="W111" s="4">
        <f t="shared" si="105"/>
        <v>3763144.3600000003</v>
      </c>
      <c r="X111" s="16">
        <f t="shared" si="106"/>
        <v>0.60422845912038681</v>
      </c>
      <c r="Y111" s="10">
        <f t="shared" si="100"/>
        <v>1666.6666666666667</v>
      </c>
      <c r="Z111" s="4"/>
      <c r="AA111" s="4">
        <f t="shared" si="114"/>
        <v>18333.333333333332</v>
      </c>
      <c r="AB111" s="4">
        <f t="shared" si="107"/>
        <v>20000</v>
      </c>
      <c r="AC111" s="16">
        <f t="shared" si="108"/>
        <v>1.0909090909090911</v>
      </c>
      <c r="AD111" s="14">
        <v>0</v>
      </c>
      <c r="AE111" s="3"/>
    </row>
    <row r="112" spans="1:55" ht="15.5" x14ac:dyDescent="0.35">
      <c r="A112" s="1">
        <v>2025</v>
      </c>
      <c r="B112" s="1">
        <v>1</v>
      </c>
      <c r="C112" s="2">
        <v>45658</v>
      </c>
      <c r="D112" s="2">
        <v>45747</v>
      </c>
      <c r="E112" s="21">
        <f t="shared" si="97"/>
        <v>293370</v>
      </c>
      <c r="F112" s="18"/>
      <c r="G112" s="18">
        <f t="shared" si="101"/>
        <v>3520440</v>
      </c>
      <c r="H112" s="18">
        <f t="shared" si="102"/>
        <v>24315</v>
      </c>
      <c r="I112" s="24">
        <f t="shared" si="93"/>
        <v>6.9068071036574976E-3</v>
      </c>
      <c r="J112" s="10">
        <f t="shared" si="98"/>
        <v>18333.333333333332</v>
      </c>
      <c r="K112" s="4"/>
      <c r="L112" s="4">
        <f t="shared" si="112"/>
        <v>220000.00000000003</v>
      </c>
      <c r="M112" s="4">
        <f t="shared" si="103"/>
        <v>63889</v>
      </c>
      <c r="N112" s="16">
        <f t="shared" si="104"/>
        <v>0.29040454545454542</v>
      </c>
      <c r="O112" s="11">
        <v>800000</v>
      </c>
      <c r="P112" s="4"/>
      <c r="Q112" s="4">
        <f t="shared" si="84"/>
        <v>800000</v>
      </c>
      <c r="R112" s="4">
        <f t="shared" si="85"/>
        <v>0</v>
      </c>
      <c r="S112" s="16">
        <f t="shared" si="115"/>
        <v>0</v>
      </c>
      <c r="T112" s="10">
        <f t="shared" si="99"/>
        <v>566183.25</v>
      </c>
      <c r="U112" s="4"/>
      <c r="V112" s="4">
        <f t="shared" si="113"/>
        <v>6794199</v>
      </c>
      <c r="W112" s="4">
        <f t="shared" si="105"/>
        <v>3763144.3600000003</v>
      </c>
      <c r="X112" s="16">
        <f t="shared" si="106"/>
        <v>0.55387608752702122</v>
      </c>
      <c r="Y112" s="10">
        <f t="shared" si="100"/>
        <v>1666.6666666666667</v>
      </c>
      <c r="Z112" s="4"/>
      <c r="AA112" s="4">
        <f t="shared" si="114"/>
        <v>20000</v>
      </c>
      <c r="AB112" s="4">
        <f t="shared" si="107"/>
        <v>20000</v>
      </c>
      <c r="AC112" s="16">
        <f t="shared" si="108"/>
        <v>1</v>
      </c>
      <c r="AD112" s="14">
        <v>20</v>
      </c>
      <c r="AE112" s="3"/>
    </row>
    <row r="113" spans="1:55" ht="15.5" x14ac:dyDescent="0.35">
      <c r="A113" s="1">
        <v>2025</v>
      </c>
      <c r="B113" s="1">
        <v>2</v>
      </c>
      <c r="C113" s="2">
        <v>45748</v>
      </c>
      <c r="D113" s="2">
        <v>45838</v>
      </c>
      <c r="E113" s="22">
        <v>0</v>
      </c>
      <c r="F113" s="18"/>
      <c r="G113" s="18">
        <f t="shared" si="101"/>
        <v>3520440</v>
      </c>
      <c r="H113" s="18">
        <f t="shared" si="102"/>
        <v>24315</v>
      </c>
      <c r="I113" s="24">
        <f t="shared" si="93"/>
        <v>6.9068071036574976E-3</v>
      </c>
      <c r="J113" s="11">
        <v>0</v>
      </c>
      <c r="K113" s="4"/>
      <c r="L113" s="4">
        <f t="shared" si="112"/>
        <v>220000.00000000003</v>
      </c>
      <c r="M113" s="4">
        <f t="shared" si="103"/>
        <v>63889</v>
      </c>
      <c r="N113" s="16">
        <f t="shared" si="104"/>
        <v>0.29040454545454542</v>
      </c>
      <c r="O113" s="11">
        <v>0</v>
      </c>
      <c r="P113" s="4"/>
      <c r="Q113" s="4">
        <f t="shared" si="84"/>
        <v>800000</v>
      </c>
      <c r="R113" s="4">
        <f t="shared" si="85"/>
        <v>0</v>
      </c>
      <c r="S113" s="16">
        <f t="shared" si="115"/>
        <v>0</v>
      </c>
      <c r="T113" s="11">
        <v>0</v>
      </c>
      <c r="U113" s="4"/>
      <c r="V113" s="4">
        <f t="shared" si="113"/>
        <v>6794199</v>
      </c>
      <c r="W113" s="4">
        <f t="shared" si="105"/>
        <v>3763144.3600000003</v>
      </c>
      <c r="X113" s="16">
        <f t="shared" si="106"/>
        <v>0.55387608752702122</v>
      </c>
      <c r="Y113" s="11">
        <v>0</v>
      </c>
      <c r="Z113" s="4"/>
      <c r="AA113" s="4">
        <f t="shared" si="114"/>
        <v>20000</v>
      </c>
      <c r="AB113" s="4">
        <f t="shared" si="107"/>
        <v>20000</v>
      </c>
      <c r="AC113" s="16">
        <f t="shared" si="108"/>
        <v>1</v>
      </c>
      <c r="AD113" s="14"/>
      <c r="AE113" s="3"/>
    </row>
    <row r="114" spans="1:55" ht="15.5" x14ac:dyDescent="0.35">
      <c r="A114" s="1">
        <v>2025</v>
      </c>
      <c r="B114" s="1">
        <v>3</v>
      </c>
      <c r="C114" s="2">
        <v>45839</v>
      </c>
      <c r="D114" s="2">
        <v>45930</v>
      </c>
      <c r="E114" s="22">
        <v>0</v>
      </c>
      <c r="F114" s="18"/>
      <c r="G114" s="18">
        <f t="shared" si="101"/>
        <v>3520440</v>
      </c>
      <c r="H114" s="18">
        <f t="shared" si="102"/>
        <v>24315</v>
      </c>
      <c r="I114" s="24">
        <f t="shared" si="93"/>
        <v>6.9068071036574976E-3</v>
      </c>
      <c r="J114" s="11">
        <v>0</v>
      </c>
      <c r="K114" s="4"/>
      <c r="L114" s="4">
        <f t="shared" si="112"/>
        <v>220000.00000000003</v>
      </c>
      <c r="M114" s="4">
        <f t="shared" si="103"/>
        <v>63889</v>
      </c>
      <c r="N114" s="16">
        <f t="shared" si="104"/>
        <v>0.29040454545454542</v>
      </c>
      <c r="O114" s="11">
        <v>0</v>
      </c>
      <c r="P114" s="4"/>
      <c r="Q114" s="4">
        <f t="shared" si="84"/>
        <v>800000</v>
      </c>
      <c r="R114" s="4">
        <f t="shared" si="85"/>
        <v>0</v>
      </c>
      <c r="S114" s="16">
        <f t="shared" si="115"/>
        <v>0</v>
      </c>
      <c r="T114" s="11">
        <v>0</v>
      </c>
      <c r="U114" s="4"/>
      <c r="V114" s="4">
        <f t="shared" si="113"/>
        <v>6794199</v>
      </c>
      <c r="W114" s="4">
        <f t="shared" si="105"/>
        <v>3763144.3600000003</v>
      </c>
      <c r="X114" s="16">
        <f t="shared" si="106"/>
        <v>0.55387608752702122</v>
      </c>
      <c r="Y114" s="11">
        <v>0</v>
      </c>
      <c r="Z114" s="4"/>
      <c r="AA114" s="4">
        <f t="shared" si="114"/>
        <v>20000</v>
      </c>
      <c r="AB114" s="4">
        <f t="shared" si="107"/>
        <v>20000</v>
      </c>
      <c r="AC114" s="16">
        <f t="shared" si="108"/>
        <v>1</v>
      </c>
      <c r="AD114" s="14"/>
      <c r="AE114" s="3"/>
    </row>
    <row r="115" spans="1:55" ht="15.5" x14ac:dyDescent="0.35">
      <c r="A115" s="1">
        <v>2025</v>
      </c>
      <c r="B115" s="1">
        <v>4</v>
      </c>
      <c r="C115" s="2">
        <v>45931</v>
      </c>
      <c r="D115" s="2">
        <v>46022</v>
      </c>
      <c r="E115" s="22">
        <v>0</v>
      </c>
      <c r="F115" s="18"/>
      <c r="G115" s="18">
        <f t="shared" si="101"/>
        <v>3520440</v>
      </c>
      <c r="H115" s="18">
        <f t="shared" si="102"/>
        <v>24315</v>
      </c>
      <c r="I115" s="24">
        <f t="shared" si="93"/>
        <v>6.9068071036574976E-3</v>
      </c>
      <c r="J115" s="11">
        <v>0</v>
      </c>
      <c r="K115" s="4"/>
      <c r="L115" s="4">
        <f t="shared" si="112"/>
        <v>220000.00000000003</v>
      </c>
      <c r="M115" s="4">
        <f t="shared" si="103"/>
        <v>63889</v>
      </c>
      <c r="N115" s="16">
        <f t="shared" si="104"/>
        <v>0.29040454545454542</v>
      </c>
      <c r="O115" s="11">
        <v>0</v>
      </c>
      <c r="P115" s="4"/>
      <c r="Q115" s="4">
        <f t="shared" si="84"/>
        <v>800000</v>
      </c>
      <c r="R115" s="4">
        <f t="shared" si="85"/>
        <v>0</v>
      </c>
      <c r="S115" s="16">
        <f t="shared" si="115"/>
        <v>0</v>
      </c>
      <c r="T115" s="11">
        <v>0</v>
      </c>
      <c r="U115" s="4"/>
      <c r="V115" s="4">
        <f t="shared" si="113"/>
        <v>6794199</v>
      </c>
      <c r="W115" s="4">
        <f t="shared" si="105"/>
        <v>3763144.3600000003</v>
      </c>
      <c r="X115" s="16">
        <f t="shared" si="106"/>
        <v>0.55387608752702122</v>
      </c>
      <c r="Y115" s="11">
        <v>0</v>
      </c>
      <c r="Z115" s="4"/>
      <c r="AA115" s="4">
        <f t="shared" si="114"/>
        <v>20000</v>
      </c>
      <c r="AB115" s="4">
        <f t="shared" si="107"/>
        <v>20000</v>
      </c>
      <c r="AC115" s="16">
        <f t="shared" si="108"/>
        <v>1</v>
      </c>
      <c r="AD115" s="14"/>
      <c r="AE115" s="3"/>
    </row>
    <row r="116" spans="1:55" ht="15.5" x14ac:dyDescent="0.35">
      <c r="A116" s="1">
        <v>2026</v>
      </c>
      <c r="B116" s="1">
        <v>1</v>
      </c>
      <c r="C116" s="2">
        <v>46023</v>
      </c>
      <c r="D116" s="2">
        <v>46112</v>
      </c>
      <c r="E116" s="22">
        <v>0</v>
      </c>
      <c r="F116" s="18"/>
      <c r="G116" s="18">
        <f t="shared" si="101"/>
        <v>3520440</v>
      </c>
      <c r="H116" s="18">
        <f t="shared" si="102"/>
        <v>24315</v>
      </c>
      <c r="I116" s="24">
        <f>H116/G116</f>
        <v>6.9068071036574976E-3</v>
      </c>
      <c r="J116" s="11">
        <v>0</v>
      </c>
      <c r="K116" s="4"/>
      <c r="L116" s="4">
        <f t="shared" si="112"/>
        <v>220000.00000000003</v>
      </c>
      <c r="M116" s="4">
        <f t="shared" si="103"/>
        <v>63889</v>
      </c>
      <c r="N116" s="16">
        <f t="shared" si="104"/>
        <v>0.29040454545454542</v>
      </c>
      <c r="O116" s="11">
        <v>0</v>
      </c>
      <c r="P116" s="4"/>
      <c r="Q116" s="4">
        <f t="shared" si="84"/>
        <v>800000</v>
      </c>
      <c r="R116" s="4">
        <f t="shared" si="85"/>
        <v>0</v>
      </c>
      <c r="S116" s="16">
        <f t="shared" si="115"/>
        <v>0</v>
      </c>
      <c r="T116" s="11">
        <v>0</v>
      </c>
      <c r="U116" s="4"/>
      <c r="V116" s="4">
        <f t="shared" si="113"/>
        <v>6794199</v>
      </c>
      <c r="W116" s="4">
        <f t="shared" si="105"/>
        <v>3763144.3600000003</v>
      </c>
      <c r="X116" s="16">
        <f t="shared" si="106"/>
        <v>0.55387608752702122</v>
      </c>
      <c r="Y116" s="11">
        <v>0</v>
      </c>
      <c r="Z116" s="4"/>
      <c r="AA116" s="4">
        <f t="shared" si="114"/>
        <v>20000</v>
      </c>
      <c r="AB116" s="4">
        <f t="shared" si="107"/>
        <v>20000</v>
      </c>
      <c r="AC116" s="16">
        <f t="shared" si="108"/>
        <v>1</v>
      </c>
      <c r="AD116" s="14"/>
      <c r="AE116" s="3"/>
    </row>
    <row r="117" spans="1:55" ht="15.5" x14ac:dyDescent="0.35">
      <c r="A117" s="1">
        <v>2026</v>
      </c>
      <c r="B117" s="1">
        <v>2</v>
      </c>
      <c r="C117" s="2">
        <v>46113</v>
      </c>
      <c r="D117" s="2">
        <v>46203</v>
      </c>
      <c r="E117" s="22">
        <v>0</v>
      </c>
      <c r="F117" s="18"/>
      <c r="G117" s="18">
        <f t="shared" si="101"/>
        <v>3520440</v>
      </c>
      <c r="H117" s="18">
        <f t="shared" si="102"/>
        <v>24315</v>
      </c>
      <c r="I117" s="24">
        <f t="shared" ref="I117:I118" si="116">H117/G117</f>
        <v>6.9068071036574976E-3</v>
      </c>
      <c r="J117" s="11">
        <v>0</v>
      </c>
      <c r="K117" s="4"/>
      <c r="L117" s="4">
        <f t="shared" si="112"/>
        <v>220000.00000000003</v>
      </c>
      <c r="M117" s="4">
        <f t="shared" si="103"/>
        <v>63889</v>
      </c>
      <c r="N117" s="16">
        <f t="shared" si="104"/>
        <v>0.29040454545454542</v>
      </c>
      <c r="O117" s="11">
        <v>0</v>
      </c>
      <c r="P117" s="4"/>
      <c r="Q117" s="4">
        <f t="shared" si="84"/>
        <v>800000</v>
      </c>
      <c r="R117" s="4">
        <f t="shared" si="85"/>
        <v>0</v>
      </c>
      <c r="S117" s="16">
        <f t="shared" si="115"/>
        <v>0</v>
      </c>
      <c r="T117" s="11">
        <v>0</v>
      </c>
      <c r="U117" s="4"/>
      <c r="V117" s="4">
        <f t="shared" si="113"/>
        <v>6794199</v>
      </c>
      <c r="W117" s="4">
        <f t="shared" si="105"/>
        <v>3763144.3600000003</v>
      </c>
      <c r="X117" s="16">
        <f t="shared" si="106"/>
        <v>0.55387608752702122</v>
      </c>
      <c r="Y117" s="11">
        <v>0</v>
      </c>
      <c r="Z117" s="4"/>
      <c r="AA117" s="4">
        <f t="shared" si="114"/>
        <v>20000</v>
      </c>
      <c r="AB117" s="4">
        <f t="shared" si="107"/>
        <v>20000</v>
      </c>
      <c r="AC117" s="16">
        <f t="shared" si="108"/>
        <v>1</v>
      </c>
      <c r="AD117" s="14"/>
      <c r="AE117" s="3"/>
    </row>
    <row r="118" spans="1:55" ht="15.5" x14ac:dyDescent="0.35">
      <c r="A118" s="1">
        <v>2026</v>
      </c>
      <c r="B118" s="1">
        <v>3</v>
      </c>
      <c r="C118" s="2">
        <v>46204</v>
      </c>
      <c r="D118" s="2">
        <v>46295</v>
      </c>
      <c r="E118" s="22">
        <v>0</v>
      </c>
      <c r="F118" s="18"/>
      <c r="G118" s="18">
        <f t="shared" si="101"/>
        <v>3520440</v>
      </c>
      <c r="H118" s="18">
        <f>SUM(H117+F118)</f>
        <v>24315</v>
      </c>
      <c r="I118" s="24">
        <f t="shared" si="116"/>
        <v>6.9068071036574976E-3</v>
      </c>
      <c r="J118" s="11">
        <v>0</v>
      </c>
      <c r="K118" s="15"/>
      <c r="L118" s="15">
        <f t="shared" si="112"/>
        <v>220000.00000000003</v>
      </c>
      <c r="M118" s="15">
        <f t="shared" si="103"/>
        <v>63889</v>
      </c>
      <c r="N118" s="16">
        <f t="shared" si="104"/>
        <v>0.29040454545454542</v>
      </c>
      <c r="O118" s="11">
        <v>0</v>
      </c>
      <c r="P118" s="15"/>
      <c r="Q118" s="15">
        <f t="shared" si="84"/>
        <v>800000</v>
      </c>
      <c r="R118" s="15">
        <f t="shared" si="85"/>
        <v>0</v>
      </c>
      <c r="S118" s="16">
        <f t="shared" si="115"/>
        <v>0</v>
      </c>
      <c r="T118" s="11">
        <v>0</v>
      </c>
      <c r="U118" s="15"/>
      <c r="V118" s="15">
        <f t="shared" si="113"/>
        <v>6794199</v>
      </c>
      <c r="W118" s="15">
        <f t="shared" si="105"/>
        <v>3763144.3600000003</v>
      </c>
      <c r="X118" s="16">
        <f t="shared" si="106"/>
        <v>0.55387608752702122</v>
      </c>
      <c r="Y118" s="11">
        <v>0</v>
      </c>
      <c r="Z118" s="15"/>
      <c r="AA118" s="15">
        <f t="shared" si="114"/>
        <v>20000</v>
      </c>
      <c r="AB118" s="15">
        <f t="shared" si="107"/>
        <v>20000</v>
      </c>
      <c r="AC118" s="16">
        <f t="shared" si="108"/>
        <v>1</v>
      </c>
      <c r="AD118" s="14"/>
      <c r="AE118" s="3"/>
    </row>
    <row r="119" spans="1:55" ht="15" thickBot="1" x14ac:dyDescent="0.4">
      <c r="A119" s="36" t="s">
        <v>12</v>
      </c>
      <c r="B119" s="36"/>
      <c r="C119" s="36"/>
      <c r="D119" s="37"/>
      <c r="E119" s="38">
        <f>3168396+(352044)</f>
        <v>3520440</v>
      </c>
      <c r="F119" s="34">
        <f>SUM(F95:F118)</f>
        <v>24315</v>
      </c>
      <c r="G119" s="34">
        <f>G118</f>
        <v>3520440</v>
      </c>
      <c r="H119" s="35">
        <f>H118</f>
        <v>24315</v>
      </c>
      <c r="I119" s="45">
        <f>H119/G119</f>
        <v>6.9068071036574976E-3</v>
      </c>
      <c r="J119" s="39">
        <v>220000</v>
      </c>
      <c r="K119" s="46">
        <f>SUM(K95:K118)</f>
        <v>63889</v>
      </c>
      <c r="L119" s="40">
        <f>L118</f>
        <v>220000.00000000003</v>
      </c>
      <c r="M119" s="41">
        <f>M118</f>
        <v>63889</v>
      </c>
      <c r="N119" s="42">
        <f>M119/L119</f>
        <v>0.29040454545454542</v>
      </c>
      <c r="O119" s="39">
        <v>700000</v>
      </c>
      <c r="P119" s="46">
        <f>SUM(P95:P118)</f>
        <v>0</v>
      </c>
      <c r="Q119" s="40">
        <f>Q118</f>
        <v>800000</v>
      </c>
      <c r="R119" s="41">
        <f>R118</f>
        <v>0</v>
      </c>
      <c r="S119" s="42">
        <f t="shared" si="115"/>
        <v>0</v>
      </c>
      <c r="T119" s="39">
        <f>6114779.1+(679419.9)</f>
        <v>6794199</v>
      </c>
      <c r="U119" s="46">
        <f>SUM(U95:U118)</f>
        <v>3763144.3600000003</v>
      </c>
      <c r="V119" s="40">
        <f>V118</f>
        <v>6794199</v>
      </c>
      <c r="W119" s="41">
        <f>W118</f>
        <v>3763144.3600000003</v>
      </c>
      <c r="X119" s="42">
        <f>W119/V119</f>
        <v>0.55387608752702122</v>
      </c>
      <c r="Y119" s="39">
        <v>20000</v>
      </c>
      <c r="Z119" s="46">
        <f>SUM(Z95:Z118)</f>
        <v>20000</v>
      </c>
      <c r="AA119" s="40">
        <f>AA118</f>
        <v>20000</v>
      </c>
      <c r="AB119" s="41">
        <f>AB118</f>
        <v>20000</v>
      </c>
      <c r="AC119" s="42">
        <f>AB119/AA119</f>
        <v>1</v>
      </c>
      <c r="AD119" s="43">
        <f>SUM(AD95:AD118)</f>
        <v>20</v>
      </c>
      <c r="AE119" s="43">
        <f>SUM(AE95:AE118)</f>
        <v>0</v>
      </c>
    </row>
    <row r="120" spans="1:55" ht="15" thickTop="1" x14ac:dyDescent="0.35">
      <c r="A120" s="28"/>
      <c r="B120" s="28"/>
      <c r="C120" s="28"/>
      <c r="D120" s="28"/>
      <c r="E120" s="160">
        <f>E119+J119+O119</f>
        <v>4440440</v>
      </c>
      <c r="F120" s="29"/>
      <c r="G120" s="29"/>
      <c r="H120" s="30"/>
      <c r="I120" s="47"/>
      <c r="J120" s="31"/>
      <c r="K120" s="47"/>
      <c r="L120" s="29"/>
      <c r="M120" s="30"/>
      <c r="N120" s="44"/>
      <c r="O120" s="28"/>
      <c r="P120" s="28"/>
      <c r="T120" s="161">
        <f>T119+Y119</f>
        <v>6814199</v>
      </c>
    </row>
    <row r="121" spans="1:55" x14ac:dyDescent="0.35">
      <c r="A121" s="28"/>
      <c r="B121" s="28"/>
      <c r="C121" s="28"/>
      <c r="D121" s="28"/>
      <c r="E121" s="29"/>
      <c r="F121" s="29"/>
      <c r="G121" s="29"/>
      <c r="H121" s="30"/>
      <c r="I121" s="47"/>
      <c r="J121" s="31"/>
      <c r="K121" s="47"/>
      <c r="L121" s="29"/>
      <c r="M121" s="30"/>
      <c r="N121" s="44"/>
      <c r="O121" s="28"/>
      <c r="P121" s="28"/>
    </row>
    <row r="122" spans="1:55" x14ac:dyDescent="0.35">
      <c r="A122" s="198" t="s">
        <v>66</v>
      </c>
      <c r="B122" s="198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22"/>
      <c r="AG122" s="122"/>
      <c r="AH122" s="122"/>
      <c r="AI122" s="122"/>
      <c r="AJ122" s="122"/>
      <c r="AK122" s="122"/>
    </row>
    <row r="123" spans="1:55" ht="15" thickBot="1" x14ac:dyDescent="0.4">
      <c r="A123" s="202" t="s">
        <v>0</v>
      </c>
      <c r="B123" s="204"/>
      <c r="C123" s="204"/>
      <c r="D123" s="210"/>
      <c r="E123" s="211" t="s">
        <v>18</v>
      </c>
      <c r="F123" s="212"/>
      <c r="G123" s="212"/>
      <c r="H123" s="212"/>
      <c r="I123" s="213"/>
      <c r="J123" s="199" t="s">
        <v>17</v>
      </c>
      <c r="K123" s="200"/>
      <c r="L123" s="200"/>
      <c r="M123" s="200"/>
      <c r="N123" s="201"/>
      <c r="O123" s="207" t="s">
        <v>56</v>
      </c>
      <c r="P123" s="208"/>
      <c r="Q123" s="208"/>
      <c r="R123" s="208"/>
      <c r="S123" s="209"/>
      <c r="T123" s="199" t="s">
        <v>21</v>
      </c>
      <c r="U123" s="200"/>
      <c r="V123" s="200"/>
      <c r="W123" s="200"/>
      <c r="X123" s="201"/>
      <c r="Y123" s="199" t="s">
        <v>22</v>
      </c>
      <c r="Z123" s="200"/>
      <c r="AA123" s="200"/>
      <c r="AB123" s="200"/>
      <c r="AC123" s="201"/>
      <c r="AD123" s="202"/>
      <c r="AE123" s="203"/>
    </row>
    <row r="124" spans="1:55" ht="44" thickTop="1" x14ac:dyDescent="0.35">
      <c r="A124" s="7" t="s">
        <v>1</v>
      </c>
      <c r="B124" s="7" t="s">
        <v>2</v>
      </c>
      <c r="C124" s="7" t="s">
        <v>3</v>
      </c>
      <c r="D124" s="9" t="s">
        <v>9</v>
      </c>
      <c r="E124" s="19" t="s">
        <v>4</v>
      </c>
      <c r="F124" s="20" t="s">
        <v>6</v>
      </c>
      <c r="G124" s="20" t="s">
        <v>5</v>
      </c>
      <c r="H124" s="20" t="s">
        <v>7</v>
      </c>
      <c r="I124" s="23" t="s">
        <v>8</v>
      </c>
      <c r="J124" s="25" t="s">
        <v>4</v>
      </c>
      <c r="K124" s="26" t="s">
        <v>6</v>
      </c>
      <c r="L124" s="26" t="s">
        <v>5</v>
      </c>
      <c r="M124" s="26" t="s">
        <v>7</v>
      </c>
      <c r="N124" s="27" t="s">
        <v>8</v>
      </c>
      <c r="O124" s="84" t="s">
        <v>4</v>
      </c>
      <c r="P124" s="85" t="s">
        <v>6</v>
      </c>
      <c r="Q124" s="85" t="s">
        <v>5</v>
      </c>
      <c r="R124" s="85" t="s">
        <v>7</v>
      </c>
      <c r="S124" s="86" t="s">
        <v>8</v>
      </c>
      <c r="T124" s="25" t="s">
        <v>4</v>
      </c>
      <c r="U124" s="26" t="s">
        <v>6</v>
      </c>
      <c r="V124" s="26" t="s">
        <v>5</v>
      </c>
      <c r="W124" s="26" t="s">
        <v>7</v>
      </c>
      <c r="X124" s="27" t="s">
        <v>8</v>
      </c>
      <c r="Y124" s="25" t="s">
        <v>4</v>
      </c>
      <c r="Z124" s="26" t="s">
        <v>6</v>
      </c>
      <c r="AA124" s="26" t="s">
        <v>5</v>
      </c>
      <c r="AB124" s="26" t="s">
        <v>7</v>
      </c>
      <c r="AC124" s="27" t="s">
        <v>8</v>
      </c>
      <c r="AD124" s="13" t="s">
        <v>10</v>
      </c>
      <c r="AE124" s="8" t="s">
        <v>11</v>
      </c>
    </row>
    <row r="125" spans="1:55" ht="15.5" x14ac:dyDescent="0.35">
      <c r="A125" s="64">
        <v>2020</v>
      </c>
      <c r="B125" s="64">
        <v>4</v>
      </c>
      <c r="C125" s="65">
        <v>44105</v>
      </c>
      <c r="D125" s="65">
        <v>44196</v>
      </c>
      <c r="E125" s="66">
        <v>0</v>
      </c>
      <c r="F125" s="66">
        <v>0</v>
      </c>
      <c r="G125" s="66">
        <v>0</v>
      </c>
      <c r="H125" s="66">
        <v>0</v>
      </c>
      <c r="I125" s="67">
        <v>0</v>
      </c>
      <c r="J125" s="66">
        <v>0</v>
      </c>
      <c r="K125" s="66">
        <v>0</v>
      </c>
      <c r="L125" s="66">
        <v>0</v>
      </c>
      <c r="M125" s="66">
        <v>0</v>
      </c>
      <c r="N125" s="67">
        <v>0</v>
      </c>
      <c r="O125" s="66">
        <v>0</v>
      </c>
      <c r="P125" s="66">
        <v>0</v>
      </c>
      <c r="Q125" s="66">
        <v>0</v>
      </c>
      <c r="R125" s="66">
        <v>0</v>
      </c>
      <c r="S125" s="67">
        <v>0</v>
      </c>
      <c r="T125" s="66">
        <v>0</v>
      </c>
      <c r="U125" s="66">
        <v>0</v>
      </c>
      <c r="V125" s="66">
        <v>0</v>
      </c>
      <c r="W125" s="66">
        <v>0</v>
      </c>
      <c r="X125" s="67">
        <v>0</v>
      </c>
      <c r="Y125" s="66">
        <v>0</v>
      </c>
      <c r="Z125" s="66">
        <v>0</v>
      </c>
      <c r="AA125" s="66">
        <v>0</v>
      </c>
      <c r="AB125" s="66">
        <v>0</v>
      </c>
      <c r="AC125" s="67">
        <v>0</v>
      </c>
      <c r="AD125" s="68">
        <v>0</v>
      </c>
      <c r="AE125" s="69">
        <v>0</v>
      </c>
    </row>
    <row r="126" spans="1:55" ht="15.5" x14ac:dyDescent="0.35">
      <c r="A126" s="64">
        <v>2021</v>
      </c>
      <c r="B126" s="64">
        <v>1</v>
      </c>
      <c r="C126" s="65">
        <v>44197</v>
      </c>
      <c r="D126" s="65">
        <v>44286</v>
      </c>
      <c r="E126" s="66">
        <v>0</v>
      </c>
      <c r="F126" s="66">
        <v>0</v>
      </c>
      <c r="G126" s="66">
        <v>0</v>
      </c>
      <c r="H126" s="66">
        <v>0</v>
      </c>
      <c r="I126" s="67">
        <v>0</v>
      </c>
      <c r="J126" s="66">
        <v>0</v>
      </c>
      <c r="K126" s="66">
        <v>0</v>
      </c>
      <c r="L126" s="66">
        <v>0</v>
      </c>
      <c r="M126" s="66">
        <v>0</v>
      </c>
      <c r="N126" s="67">
        <v>0</v>
      </c>
      <c r="O126" s="66">
        <v>0</v>
      </c>
      <c r="P126" s="66">
        <v>0</v>
      </c>
      <c r="Q126" s="66">
        <v>0</v>
      </c>
      <c r="R126" s="66">
        <v>0</v>
      </c>
      <c r="S126" s="67">
        <v>0</v>
      </c>
      <c r="T126" s="66">
        <v>0</v>
      </c>
      <c r="U126" s="66">
        <v>0</v>
      </c>
      <c r="V126" s="66">
        <v>0</v>
      </c>
      <c r="W126" s="66">
        <v>0</v>
      </c>
      <c r="X126" s="67">
        <v>0</v>
      </c>
      <c r="Y126" s="66">
        <v>0</v>
      </c>
      <c r="Z126" s="66">
        <v>0</v>
      </c>
      <c r="AA126" s="66">
        <v>0</v>
      </c>
      <c r="AB126" s="66">
        <v>0</v>
      </c>
      <c r="AC126" s="67">
        <v>0</v>
      </c>
      <c r="AD126" s="68">
        <v>0</v>
      </c>
      <c r="AE126" s="69">
        <v>0</v>
      </c>
    </row>
    <row r="127" spans="1:55" s="108" customFormat="1" ht="15.5" x14ac:dyDescent="0.35">
      <c r="A127" s="89">
        <v>2021</v>
      </c>
      <c r="B127" s="89">
        <v>2</v>
      </c>
      <c r="C127" s="90">
        <v>44287</v>
      </c>
      <c r="D127" s="90">
        <v>44377</v>
      </c>
      <c r="E127" s="100">
        <v>0</v>
      </c>
      <c r="F127" s="92">
        <v>0</v>
      </c>
      <c r="G127" s="92">
        <f>E127</f>
        <v>0</v>
      </c>
      <c r="H127" s="92">
        <f>SUM(F127+0)</f>
        <v>0</v>
      </c>
      <c r="I127" s="101">
        <v>0</v>
      </c>
      <c r="J127" s="102"/>
      <c r="K127" s="103">
        <v>0</v>
      </c>
      <c r="L127" s="104">
        <f>J127</f>
        <v>0</v>
      </c>
      <c r="M127" s="103">
        <f>SUM(K127+0)</f>
        <v>0</v>
      </c>
      <c r="N127" s="105">
        <v>0</v>
      </c>
      <c r="O127" s="102">
        <v>0</v>
      </c>
      <c r="P127" s="103">
        <v>0</v>
      </c>
      <c r="Q127" s="104">
        <f>O127</f>
        <v>0</v>
      </c>
      <c r="R127" s="103">
        <f>SUM(P127+0)</f>
        <v>0</v>
      </c>
      <c r="S127" s="105">
        <v>0</v>
      </c>
      <c r="T127" s="102">
        <v>0</v>
      </c>
      <c r="U127" s="103">
        <v>0</v>
      </c>
      <c r="V127" s="104">
        <f>T127</f>
        <v>0</v>
      </c>
      <c r="W127" s="103">
        <f>SUM(U127+0)</f>
        <v>0</v>
      </c>
      <c r="X127" s="105">
        <v>0</v>
      </c>
      <c r="Y127" s="102">
        <v>0</v>
      </c>
      <c r="Z127" s="103">
        <v>0</v>
      </c>
      <c r="AA127" s="104">
        <f>Y127</f>
        <v>0</v>
      </c>
      <c r="AB127" s="103">
        <f>SUM(Z127+0)</f>
        <v>0</v>
      </c>
      <c r="AC127" s="105">
        <v>0</v>
      </c>
      <c r="AD127" s="106">
        <v>0</v>
      </c>
      <c r="AE127" s="107">
        <v>0</v>
      </c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</row>
    <row r="128" spans="1:55" ht="15.5" x14ac:dyDescent="0.35">
      <c r="A128" s="64">
        <v>2021</v>
      </c>
      <c r="B128" s="64">
        <v>3</v>
      </c>
      <c r="C128" s="65">
        <v>44378</v>
      </c>
      <c r="D128" s="65">
        <v>44469</v>
      </c>
      <c r="E128" s="72">
        <v>0</v>
      </c>
      <c r="F128" s="73"/>
      <c r="G128" s="73">
        <f t="shared" ref="G128:G129" si="117">G127+E128</f>
        <v>0</v>
      </c>
      <c r="H128" s="73">
        <f t="shared" ref="H128:H132" si="118">SUM(H127+F128)</f>
        <v>0</v>
      </c>
      <c r="I128" s="74">
        <v>0</v>
      </c>
      <c r="J128" s="75"/>
      <c r="K128" s="76"/>
      <c r="L128" s="76">
        <f>L127+J128</f>
        <v>0</v>
      </c>
      <c r="M128" s="76">
        <f>SUM(M127+K128)</f>
        <v>0</v>
      </c>
      <c r="N128" s="78">
        <v>0</v>
      </c>
      <c r="O128" s="75">
        <v>0</v>
      </c>
      <c r="P128" s="76"/>
      <c r="Q128" s="76">
        <f t="shared" ref="Q128:Q148" si="119">Q127+O128</f>
        <v>0</v>
      </c>
      <c r="R128" s="76">
        <f t="shared" ref="R128:R148" si="120">SUM(R127+P128)</f>
        <v>0</v>
      </c>
      <c r="S128" s="78">
        <v>0</v>
      </c>
      <c r="T128" s="75">
        <v>0</v>
      </c>
      <c r="U128" s="76"/>
      <c r="V128" s="76">
        <f>V127+T128</f>
        <v>0</v>
      </c>
      <c r="W128" s="76">
        <f>SUM(W127+U128)</f>
        <v>0</v>
      </c>
      <c r="X128" s="78">
        <v>0</v>
      </c>
      <c r="Y128" s="75">
        <v>0</v>
      </c>
      <c r="Z128" s="76"/>
      <c r="AA128" s="76">
        <f>AA127+Y128</f>
        <v>0</v>
      </c>
      <c r="AB128" s="76">
        <f>SUM(AB127+Z128)</f>
        <v>0</v>
      </c>
      <c r="AC128" s="78">
        <v>0</v>
      </c>
      <c r="AD128" s="68">
        <v>0</v>
      </c>
      <c r="AE128" s="69"/>
    </row>
    <row r="129" spans="1:31" ht="15.5" x14ac:dyDescent="0.35">
      <c r="A129" s="64">
        <v>2022</v>
      </c>
      <c r="B129" s="64">
        <v>4</v>
      </c>
      <c r="C129" s="65">
        <v>44470</v>
      </c>
      <c r="D129" s="65">
        <v>44561</v>
      </c>
      <c r="E129" s="72">
        <v>0</v>
      </c>
      <c r="F129" s="73">
        <v>0</v>
      </c>
      <c r="G129" s="73">
        <f t="shared" si="117"/>
        <v>0</v>
      </c>
      <c r="H129" s="73">
        <f t="shared" si="118"/>
        <v>0</v>
      </c>
      <c r="I129" s="74">
        <v>0</v>
      </c>
      <c r="J129" s="75">
        <v>0</v>
      </c>
      <c r="K129" s="75">
        <v>0</v>
      </c>
      <c r="L129" s="76">
        <f t="shared" ref="L129:L132" si="121">L128+J129</f>
        <v>0</v>
      </c>
      <c r="M129" s="76">
        <f t="shared" ref="M129:M131" si="122">SUM(M128+K129)</f>
        <v>0</v>
      </c>
      <c r="N129" s="78">
        <v>0</v>
      </c>
      <c r="O129" s="75">
        <v>0</v>
      </c>
      <c r="P129" s="76">
        <v>0</v>
      </c>
      <c r="Q129" s="76">
        <f t="shared" si="119"/>
        <v>0</v>
      </c>
      <c r="R129" s="76">
        <f t="shared" si="120"/>
        <v>0</v>
      </c>
      <c r="S129" s="78">
        <v>0</v>
      </c>
      <c r="T129" s="75">
        <v>0</v>
      </c>
      <c r="U129" s="76">
        <v>0</v>
      </c>
      <c r="V129" s="76">
        <f t="shared" ref="V129:V132" si="123">V128+T129</f>
        <v>0</v>
      </c>
      <c r="W129" s="76">
        <f t="shared" ref="W129:W131" si="124">SUM(W128+U129)</f>
        <v>0</v>
      </c>
      <c r="X129" s="78">
        <v>0</v>
      </c>
      <c r="Y129" s="75">
        <v>0</v>
      </c>
      <c r="Z129" s="76">
        <v>0</v>
      </c>
      <c r="AA129" s="76">
        <f t="shared" ref="AA129:AA132" si="125">AA128+Y129</f>
        <v>0</v>
      </c>
      <c r="AB129" s="76">
        <f t="shared" ref="AB129:AB131" si="126">SUM(AB128+Z129)</f>
        <v>0</v>
      </c>
      <c r="AC129" s="78">
        <v>0</v>
      </c>
      <c r="AD129" s="68">
        <v>0</v>
      </c>
      <c r="AE129" s="69">
        <v>0</v>
      </c>
    </row>
    <row r="130" spans="1:31" ht="15.5" x14ac:dyDescent="0.35">
      <c r="A130" s="64">
        <v>2022</v>
      </c>
      <c r="B130" s="64">
        <v>1</v>
      </c>
      <c r="C130" s="65">
        <v>44562</v>
      </c>
      <c r="D130" s="65">
        <v>44651</v>
      </c>
      <c r="E130" s="72">
        <v>0</v>
      </c>
      <c r="F130" s="73">
        <v>0</v>
      </c>
      <c r="G130" s="73">
        <f>G129+E130</f>
        <v>0</v>
      </c>
      <c r="H130" s="73">
        <f t="shared" si="118"/>
        <v>0</v>
      </c>
      <c r="I130" s="74">
        <v>0</v>
      </c>
      <c r="J130" s="75">
        <v>0</v>
      </c>
      <c r="K130" s="75">
        <v>0</v>
      </c>
      <c r="L130" s="76">
        <f t="shared" si="121"/>
        <v>0</v>
      </c>
      <c r="M130" s="76">
        <f t="shared" si="122"/>
        <v>0</v>
      </c>
      <c r="N130" s="78">
        <v>0</v>
      </c>
      <c r="O130" s="75">
        <v>0</v>
      </c>
      <c r="P130" s="76">
        <v>0</v>
      </c>
      <c r="Q130" s="76">
        <f t="shared" si="119"/>
        <v>0</v>
      </c>
      <c r="R130" s="76">
        <f t="shared" si="120"/>
        <v>0</v>
      </c>
      <c r="S130" s="78">
        <v>0</v>
      </c>
      <c r="T130" s="75">
        <v>0</v>
      </c>
      <c r="U130" s="76">
        <v>0</v>
      </c>
      <c r="V130" s="76">
        <f t="shared" si="123"/>
        <v>0</v>
      </c>
      <c r="W130" s="76">
        <f t="shared" si="124"/>
        <v>0</v>
      </c>
      <c r="X130" s="78">
        <v>0</v>
      </c>
      <c r="Y130" s="75">
        <v>0</v>
      </c>
      <c r="Z130" s="76">
        <v>0</v>
      </c>
      <c r="AA130" s="76">
        <f t="shared" si="125"/>
        <v>0</v>
      </c>
      <c r="AB130" s="76">
        <f t="shared" si="126"/>
        <v>0</v>
      </c>
      <c r="AC130" s="78">
        <v>0</v>
      </c>
      <c r="AD130" s="68">
        <v>0</v>
      </c>
      <c r="AE130" s="69">
        <v>0</v>
      </c>
    </row>
    <row r="131" spans="1:31" ht="15.5" x14ac:dyDescent="0.35">
      <c r="A131" s="64">
        <v>2022</v>
      </c>
      <c r="B131" s="64">
        <v>2</v>
      </c>
      <c r="C131" s="65">
        <v>44652</v>
      </c>
      <c r="D131" s="65">
        <v>44742</v>
      </c>
      <c r="E131" s="72">
        <f>$E$149/11</f>
        <v>27532.636363636364</v>
      </c>
      <c r="F131" s="73">
        <v>0</v>
      </c>
      <c r="G131" s="73">
        <f t="shared" ref="G131:G132" si="127">G130+E131</f>
        <v>27532.636363636364</v>
      </c>
      <c r="H131" s="73">
        <f t="shared" si="118"/>
        <v>0</v>
      </c>
      <c r="I131" s="74">
        <f t="shared" ref="I131:I145" si="128">H131/G131</f>
        <v>0</v>
      </c>
      <c r="J131" s="75">
        <f>$J$149/11</f>
        <v>1363.6363636363637</v>
      </c>
      <c r="K131" s="76">
        <v>0</v>
      </c>
      <c r="L131" s="76">
        <f t="shared" si="121"/>
        <v>1363.6363636363637</v>
      </c>
      <c r="M131" s="76">
        <f t="shared" si="122"/>
        <v>0</v>
      </c>
      <c r="N131" s="78">
        <f t="shared" ref="N131:N132" si="129">M131/L131</f>
        <v>0</v>
      </c>
      <c r="O131" s="75">
        <v>0</v>
      </c>
      <c r="P131" s="76">
        <v>0</v>
      </c>
      <c r="Q131" s="76">
        <f t="shared" si="119"/>
        <v>0</v>
      </c>
      <c r="R131" s="76">
        <f t="shared" si="120"/>
        <v>0</v>
      </c>
      <c r="S131" s="78">
        <v>0</v>
      </c>
      <c r="T131" s="75">
        <f>$T$149/11</f>
        <v>27535.986363636366</v>
      </c>
      <c r="U131" s="76">
        <v>0</v>
      </c>
      <c r="V131" s="76">
        <f t="shared" si="123"/>
        <v>27535.986363636366</v>
      </c>
      <c r="W131" s="76">
        <f t="shared" si="124"/>
        <v>0</v>
      </c>
      <c r="X131" s="78">
        <f t="shared" ref="X131:X132" si="130">W131/V131</f>
        <v>0</v>
      </c>
      <c r="Y131" s="75">
        <f>$Y$149/11</f>
        <v>454.54545454545456</v>
      </c>
      <c r="Z131" s="76">
        <v>0</v>
      </c>
      <c r="AA131" s="76">
        <f t="shared" si="125"/>
        <v>454.54545454545456</v>
      </c>
      <c r="AB131" s="76">
        <f t="shared" si="126"/>
        <v>0</v>
      </c>
      <c r="AC131" s="78">
        <f t="shared" ref="AC131:AC132" si="131">AB131/AA131</f>
        <v>0</v>
      </c>
      <c r="AD131" s="68">
        <v>0</v>
      </c>
      <c r="AE131" s="69">
        <v>0</v>
      </c>
    </row>
    <row r="132" spans="1:31" ht="15.5" x14ac:dyDescent="0.35">
      <c r="A132" s="64">
        <v>2022</v>
      </c>
      <c r="B132" s="64">
        <v>3</v>
      </c>
      <c r="C132" s="65">
        <v>44743</v>
      </c>
      <c r="D132" s="65">
        <v>44834</v>
      </c>
      <c r="E132" s="72">
        <f t="shared" ref="E132:E141" si="132">$E$149/11</f>
        <v>27532.636363636364</v>
      </c>
      <c r="F132" s="73">
        <v>0</v>
      </c>
      <c r="G132" s="73">
        <f t="shared" si="127"/>
        <v>55065.272727272728</v>
      </c>
      <c r="H132" s="73">
        <f t="shared" si="118"/>
        <v>0</v>
      </c>
      <c r="I132" s="74">
        <f t="shared" si="128"/>
        <v>0</v>
      </c>
      <c r="J132" s="75">
        <f t="shared" ref="J132:J141" si="133">$J$149/11</f>
        <v>1363.6363636363637</v>
      </c>
      <c r="K132" s="76">
        <v>0</v>
      </c>
      <c r="L132" s="76">
        <f t="shared" si="121"/>
        <v>2727.2727272727275</v>
      </c>
      <c r="M132" s="76">
        <f>SUM(M131+K132)</f>
        <v>0</v>
      </c>
      <c r="N132" s="78">
        <f t="shared" si="129"/>
        <v>0</v>
      </c>
      <c r="O132" s="75">
        <v>0</v>
      </c>
      <c r="P132" s="76">
        <v>0</v>
      </c>
      <c r="Q132" s="76">
        <f t="shared" si="119"/>
        <v>0</v>
      </c>
      <c r="R132" s="76">
        <f t="shared" si="120"/>
        <v>0</v>
      </c>
      <c r="S132" s="78">
        <v>0</v>
      </c>
      <c r="T132" s="75">
        <f t="shared" ref="T132:T141" si="134">$T$149/11</f>
        <v>27535.986363636366</v>
      </c>
      <c r="U132" s="76">
        <v>0</v>
      </c>
      <c r="V132" s="76">
        <f t="shared" si="123"/>
        <v>55071.972727272732</v>
      </c>
      <c r="W132" s="76">
        <f>SUM(W131+U132)</f>
        <v>0</v>
      </c>
      <c r="X132" s="78">
        <f t="shared" si="130"/>
        <v>0</v>
      </c>
      <c r="Y132" s="75">
        <f t="shared" ref="Y132:Y141" si="135">$Y$149/11</f>
        <v>454.54545454545456</v>
      </c>
      <c r="Z132" s="76">
        <v>0</v>
      </c>
      <c r="AA132" s="76">
        <f t="shared" si="125"/>
        <v>909.09090909090912</v>
      </c>
      <c r="AB132" s="76">
        <f>SUM(AB131+Z132)</f>
        <v>0</v>
      </c>
      <c r="AC132" s="78">
        <f t="shared" si="131"/>
        <v>0</v>
      </c>
      <c r="AD132" s="68">
        <v>0</v>
      </c>
      <c r="AE132" s="69">
        <v>0</v>
      </c>
    </row>
    <row r="133" spans="1:31" ht="15.5" x14ac:dyDescent="0.35">
      <c r="A133" s="64">
        <v>2022</v>
      </c>
      <c r="B133" s="64">
        <v>4</v>
      </c>
      <c r="C133" s="65">
        <v>44835</v>
      </c>
      <c r="D133" s="65">
        <v>44926</v>
      </c>
      <c r="E133" s="72">
        <f t="shared" si="132"/>
        <v>27532.636363636364</v>
      </c>
      <c r="F133" s="73">
        <v>0</v>
      </c>
      <c r="G133" s="73">
        <f>G132+E133</f>
        <v>82597.909090909088</v>
      </c>
      <c r="H133" s="73">
        <f>SUM(H132+F133)</f>
        <v>0</v>
      </c>
      <c r="I133" s="74">
        <f t="shared" si="128"/>
        <v>0</v>
      </c>
      <c r="J133" s="75">
        <f t="shared" si="133"/>
        <v>1363.6363636363637</v>
      </c>
      <c r="K133" s="76">
        <v>3250</v>
      </c>
      <c r="L133" s="76">
        <f>L132+J133</f>
        <v>4090.909090909091</v>
      </c>
      <c r="M133" s="76">
        <f>SUM(M132+K133)</f>
        <v>3250</v>
      </c>
      <c r="N133" s="78">
        <f>M133/L133</f>
        <v>0.7944444444444444</v>
      </c>
      <c r="O133" s="75">
        <v>0</v>
      </c>
      <c r="P133" s="76">
        <v>0</v>
      </c>
      <c r="Q133" s="76">
        <f t="shared" si="119"/>
        <v>0</v>
      </c>
      <c r="R133" s="76">
        <f t="shared" si="120"/>
        <v>0</v>
      </c>
      <c r="S133" s="78">
        <v>0</v>
      </c>
      <c r="T133" s="75">
        <f t="shared" si="134"/>
        <v>27535.986363636366</v>
      </c>
      <c r="U133" s="76">
        <v>0</v>
      </c>
      <c r="V133" s="76">
        <f>V132+T133</f>
        <v>82607.959090909106</v>
      </c>
      <c r="W133" s="76">
        <f>SUM(W132+U133)</f>
        <v>0</v>
      </c>
      <c r="X133" s="78">
        <f>W133/V133</f>
        <v>0</v>
      </c>
      <c r="Y133" s="75">
        <f t="shared" si="135"/>
        <v>454.54545454545456</v>
      </c>
      <c r="Z133" s="76">
        <v>0</v>
      </c>
      <c r="AA133" s="76">
        <f>AA132+Y133</f>
        <v>1363.6363636363637</v>
      </c>
      <c r="AB133" s="76">
        <f>SUM(AB132+Z133)</f>
        <v>0</v>
      </c>
      <c r="AC133" s="78">
        <f>AB133/AA133</f>
        <v>0</v>
      </c>
      <c r="AD133" s="68">
        <v>0</v>
      </c>
      <c r="AE133" s="69">
        <v>0</v>
      </c>
    </row>
    <row r="134" spans="1:31" ht="15.5" x14ac:dyDescent="0.35">
      <c r="A134" s="64">
        <v>2023</v>
      </c>
      <c r="B134" s="64">
        <v>1</v>
      </c>
      <c r="C134" s="65">
        <v>44927</v>
      </c>
      <c r="D134" s="65">
        <v>45016</v>
      </c>
      <c r="E134" s="72">
        <f t="shared" si="132"/>
        <v>27532.636363636364</v>
      </c>
      <c r="F134" s="73">
        <v>0</v>
      </c>
      <c r="G134" s="73">
        <f t="shared" ref="G134:G148" si="136">G133+E134</f>
        <v>110130.54545454546</v>
      </c>
      <c r="H134" s="73">
        <f t="shared" ref="H134:H147" si="137">SUM(H133+F134)</f>
        <v>0</v>
      </c>
      <c r="I134" s="74">
        <f t="shared" si="128"/>
        <v>0</v>
      </c>
      <c r="J134" s="75">
        <f t="shared" si="133"/>
        <v>1363.6363636363637</v>
      </c>
      <c r="K134" s="76">
        <v>5000</v>
      </c>
      <c r="L134" s="76">
        <f>L133+J134</f>
        <v>5454.545454545455</v>
      </c>
      <c r="M134" s="76">
        <f t="shared" ref="M134:M148" si="138">SUM(M133+K134)</f>
        <v>8250</v>
      </c>
      <c r="N134" s="78">
        <f t="shared" ref="N134:N148" si="139">M134/L134</f>
        <v>1.5125</v>
      </c>
      <c r="O134" s="75">
        <v>0</v>
      </c>
      <c r="P134" s="76">
        <v>0</v>
      </c>
      <c r="Q134" s="76">
        <f t="shared" si="119"/>
        <v>0</v>
      </c>
      <c r="R134" s="76">
        <f t="shared" si="120"/>
        <v>0</v>
      </c>
      <c r="S134" s="78">
        <v>0</v>
      </c>
      <c r="T134" s="75">
        <f t="shared" si="134"/>
        <v>27535.986363636366</v>
      </c>
      <c r="U134" s="76">
        <v>0</v>
      </c>
      <c r="V134" s="76">
        <f>V133+T134</f>
        <v>110143.94545454546</v>
      </c>
      <c r="W134" s="76">
        <f t="shared" ref="W134:W148" si="140">SUM(W133+U134)</f>
        <v>0</v>
      </c>
      <c r="X134" s="78">
        <f t="shared" ref="X134:X148" si="141">W134/V134</f>
        <v>0</v>
      </c>
      <c r="Y134" s="75">
        <f t="shared" si="135"/>
        <v>454.54545454545456</v>
      </c>
      <c r="Z134" s="76">
        <v>0</v>
      </c>
      <c r="AA134" s="76">
        <f>AA133+Y134</f>
        <v>1818.1818181818182</v>
      </c>
      <c r="AB134" s="76">
        <f t="shared" ref="AB134:AB148" si="142">SUM(AB133+Z134)</f>
        <v>0</v>
      </c>
      <c r="AC134" s="78">
        <f t="shared" ref="AC134:AC148" si="143">AB134/AA134</f>
        <v>0</v>
      </c>
      <c r="AD134" s="68">
        <v>0</v>
      </c>
      <c r="AE134" s="69">
        <v>0</v>
      </c>
    </row>
    <row r="135" spans="1:31" ht="15.5" x14ac:dyDescent="0.35">
      <c r="A135" s="64">
        <v>2023</v>
      </c>
      <c r="B135" s="64">
        <v>2</v>
      </c>
      <c r="C135" s="65">
        <v>45017</v>
      </c>
      <c r="D135" s="65">
        <v>45107</v>
      </c>
      <c r="E135" s="72">
        <f t="shared" si="132"/>
        <v>27532.636363636364</v>
      </c>
      <c r="F135" s="73">
        <v>0</v>
      </c>
      <c r="G135" s="73">
        <f t="shared" si="136"/>
        <v>137663.18181818182</v>
      </c>
      <c r="H135" s="73">
        <f t="shared" si="137"/>
        <v>0</v>
      </c>
      <c r="I135" s="74">
        <f t="shared" si="128"/>
        <v>0</v>
      </c>
      <c r="J135" s="75">
        <f t="shared" si="133"/>
        <v>1363.6363636363637</v>
      </c>
      <c r="K135" s="76">
        <v>0</v>
      </c>
      <c r="L135" s="76">
        <f t="shared" ref="L135" si="144">L134+J135</f>
        <v>6818.1818181818189</v>
      </c>
      <c r="M135" s="76">
        <f t="shared" si="138"/>
        <v>8250</v>
      </c>
      <c r="N135" s="78">
        <f t="shared" si="139"/>
        <v>1.21</v>
      </c>
      <c r="O135" s="75">
        <v>0</v>
      </c>
      <c r="P135" s="76">
        <v>0</v>
      </c>
      <c r="Q135" s="76">
        <f t="shared" si="119"/>
        <v>0</v>
      </c>
      <c r="R135" s="76">
        <f t="shared" si="120"/>
        <v>0</v>
      </c>
      <c r="S135" s="78">
        <v>0</v>
      </c>
      <c r="T135" s="75">
        <f t="shared" si="134"/>
        <v>27535.986363636366</v>
      </c>
      <c r="U135" s="76">
        <v>0</v>
      </c>
      <c r="V135" s="76">
        <f t="shared" ref="V135" si="145">V134+T135</f>
        <v>137679.93181818182</v>
      </c>
      <c r="W135" s="76">
        <f t="shared" si="140"/>
        <v>0</v>
      </c>
      <c r="X135" s="78">
        <f t="shared" si="141"/>
        <v>0</v>
      </c>
      <c r="Y135" s="75">
        <f t="shared" si="135"/>
        <v>454.54545454545456</v>
      </c>
      <c r="Z135" s="76">
        <v>0</v>
      </c>
      <c r="AA135" s="76">
        <f t="shared" ref="AA135" si="146">AA134+Y135</f>
        <v>2272.727272727273</v>
      </c>
      <c r="AB135" s="76">
        <f t="shared" si="142"/>
        <v>0</v>
      </c>
      <c r="AC135" s="78">
        <f t="shared" si="143"/>
        <v>0</v>
      </c>
      <c r="AD135" s="68">
        <v>0</v>
      </c>
      <c r="AE135" s="69">
        <v>0</v>
      </c>
    </row>
    <row r="136" spans="1:31" ht="15.5" x14ac:dyDescent="0.35">
      <c r="A136" s="64">
        <v>2023</v>
      </c>
      <c r="B136" s="64">
        <v>3</v>
      </c>
      <c r="C136" s="65">
        <v>45108</v>
      </c>
      <c r="D136" s="65">
        <v>45199</v>
      </c>
      <c r="E136" s="72">
        <f t="shared" si="132"/>
        <v>27532.636363636364</v>
      </c>
      <c r="F136" s="73">
        <v>0</v>
      </c>
      <c r="G136" s="73">
        <f t="shared" si="136"/>
        <v>165195.81818181818</v>
      </c>
      <c r="H136" s="73">
        <f t="shared" si="137"/>
        <v>0</v>
      </c>
      <c r="I136" s="74">
        <f t="shared" si="128"/>
        <v>0</v>
      </c>
      <c r="J136" s="75">
        <f t="shared" si="133"/>
        <v>1363.6363636363637</v>
      </c>
      <c r="K136" s="76">
        <v>0</v>
      </c>
      <c r="L136" s="76">
        <f>L135+J136</f>
        <v>8181.8181818181829</v>
      </c>
      <c r="M136" s="76">
        <f t="shared" si="138"/>
        <v>8250</v>
      </c>
      <c r="N136" s="78">
        <f t="shared" si="139"/>
        <v>1.0083333333333333</v>
      </c>
      <c r="O136" s="75">
        <v>0</v>
      </c>
      <c r="P136" s="76">
        <v>0</v>
      </c>
      <c r="Q136" s="76">
        <f t="shared" si="119"/>
        <v>0</v>
      </c>
      <c r="R136" s="76">
        <f t="shared" si="120"/>
        <v>0</v>
      </c>
      <c r="S136" s="78">
        <v>0</v>
      </c>
      <c r="T136" s="75">
        <f t="shared" si="134"/>
        <v>27535.986363636366</v>
      </c>
      <c r="U136" s="76">
        <v>0</v>
      </c>
      <c r="V136" s="76">
        <f>V135+T136</f>
        <v>165215.91818181818</v>
      </c>
      <c r="W136" s="76">
        <f t="shared" si="140"/>
        <v>0</v>
      </c>
      <c r="X136" s="78">
        <f t="shared" si="141"/>
        <v>0</v>
      </c>
      <c r="Y136" s="75">
        <f t="shared" si="135"/>
        <v>454.54545454545456</v>
      </c>
      <c r="Z136" s="76">
        <v>0</v>
      </c>
      <c r="AA136" s="76">
        <f>AA135+Y136</f>
        <v>2727.2727272727275</v>
      </c>
      <c r="AB136" s="76">
        <f t="shared" si="142"/>
        <v>0</v>
      </c>
      <c r="AC136" s="78">
        <f t="shared" si="143"/>
        <v>0</v>
      </c>
      <c r="AD136" s="68">
        <v>0</v>
      </c>
      <c r="AE136" s="69">
        <v>0</v>
      </c>
    </row>
    <row r="137" spans="1:31" ht="15.5" x14ac:dyDescent="0.35">
      <c r="A137" s="64">
        <v>2023</v>
      </c>
      <c r="B137" s="64">
        <v>4</v>
      </c>
      <c r="C137" s="65">
        <v>45200</v>
      </c>
      <c r="D137" s="65">
        <v>45291</v>
      </c>
      <c r="E137" s="72">
        <f t="shared" si="132"/>
        <v>27532.636363636364</v>
      </c>
      <c r="F137" s="73">
        <v>74962.06</v>
      </c>
      <c r="G137" s="73">
        <f t="shared" si="136"/>
        <v>192728.45454545453</v>
      </c>
      <c r="H137" s="73">
        <f t="shared" si="137"/>
        <v>74962.06</v>
      </c>
      <c r="I137" s="74">
        <f t="shared" si="128"/>
        <v>0.38895169982448224</v>
      </c>
      <c r="J137" s="75">
        <f t="shared" si="133"/>
        <v>1363.6363636363637</v>
      </c>
      <c r="K137" s="76">
        <v>1319.86</v>
      </c>
      <c r="L137" s="76">
        <f t="shared" ref="L137:L148" si="147">L136+J137</f>
        <v>9545.454545454546</v>
      </c>
      <c r="M137" s="76">
        <f t="shared" si="138"/>
        <v>9569.86</v>
      </c>
      <c r="N137" s="78">
        <f t="shared" si="139"/>
        <v>1.002556761904762</v>
      </c>
      <c r="O137" s="75">
        <v>0</v>
      </c>
      <c r="P137" s="76">
        <v>0</v>
      </c>
      <c r="Q137" s="76">
        <v>0</v>
      </c>
      <c r="R137" s="76">
        <v>0</v>
      </c>
      <c r="S137" s="78">
        <v>0</v>
      </c>
      <c r="T137" s="75">
        <f t="shared" si="134"/>
        <v>27535.986363636366</v>
      </c>
      <c r="U137" s="76">
        <v>0</v>
      </c>
      <c r="V137" s="76">
        <f t="shared" ref="V137:V148" si="148">V136+T137</f>
        <v>192751.90454545454</v>
      </c>
      <c r="W137" s="76">
        <v>0</v>
      </c>
      <c r="X137" s="78">
        <f t="shared" si="141"/>
        <v>0</v>
      </c>
      <c r="Y137" s="75">
        <f t="shared" si="135"/>
        <v>454.54545454545456</v>
      </c>
      <c r="Z137" s="76">
        <v>0</v>
      </c>
      <c r="AA137" s="76">
        <f t="shared" ref="AA137:AA148" si="149">AA136+Y137</f>
        <v>3181.818181818182</v>
      </c>
      <c r="AB137" s="76">
        <f t="shared" si="142"/>
        <v>0</v>
      </c>
      <c r="AC137" s="78">
        <f t="shared" si="143"/>
        <v>0</v>
      </c>
      <c r="AD137" s="68">
        <v>0</v>
      </c>
      <c r="AE137" s="69">
        <v>0</v>
      </c>
    </row>
    <row r="138" spans="1:31" ht="15.5" x14ac:dyDescent="0.35">
      <c r="A138" s="64">
        <v>2024</v>
      </c>
      <c r="B138" s="64">
        <v>1</v>
      </c>
      <c r="C138" s="65">
        <v>45292</v>
      </c>
      <c r="D138" s="65">
        <v>45382</v>
      </c>
      <c r="E138" s="72">
        <f t="shared" si="132"/>
        <v>27532.636363636364</v>
      </c>
      <c r="F138" s="73">
        <v>61792.81</v>
      </c>
      <c r="G138" s="73">
        <f t="shared" si="136"/>
        <v>220261.09090909088</v>
      </c>
      <c r="H138" s="73">
        <f t="shared" si="137"/>
        <v>136754.87</v>
      </c>
      <c r="I138" s="74">
        <f t="shared" si="128"/>
        <v>0.62087620394308907</v>
      </c>
      <c r="J138" s="75">
        <f t="shared" si="133"/>
        <v>1363.6363636363637</v>
      </c>
      <c r="K138" s="76">
        <v>0</v>
      </c>
      <c r="L138" s="76">
        <f t="shared" si="147"/>
        <v>10909.09090909091</v>
      </c>
      <c r="M138" s="76">
        <f t="shared" si="138"/>
        <v>9569.86</v>
      </c>
      <c r="N138" s="78">
        <f t="shared" si="139"/>
        <v>0.87723716666666662</v>
      </c>
      <c r="O138" s="75">
        <v>0</v>
      </c>
      <c r="P138" s="76">
        <v>0</v>
      </c>
      <c r="Q138" s="76">
        <f t="shared" si="119"/>
        <v>0</v>
      </c>
      <c r="R138" s="76">
        <f t="shared" si="120"/>
        <v>0</v>
      </c>
      <c r="S138" s="78">
        <v>0</v>
      </c>
      <c r="T138" s="75">
        <f t="shared" si="134"/>
        <v>27535.986363636366</v>
      </c>
      <c r="U138" s="76">
        <v>0</v>
      </c>
      <c r="V138" s="76">
        <f t="shared" si="148"/>
        <v>220287.8909090909</v>
      </c>
      <c r="W138" s="76">
        <f t="shared" si="140"/>
        <v>0</v>
      </c>
      <c r="X138" s="78">
        <f t="shared" si="141"/>
        <v>0</v>
      </c>
      <c r="Y138" s="75">
        <f t="shared" si="135"/>
        <v>454.54545454545456</v>
      </c>
      <c r="Z138" s="76">
        <v>0</v>
      </c>
      <c r="AA138" s="76">
        <f t="shared" si="149"/>
        <v>3636.3636363636365</v>
      </c>
      <c r="AB138" s="76">
        <f t="shared" si="142"/>
        <v>0</v>
      </c>
      <c r="AC138" s="78">
        <f t="shared" si="143"/>
        <v>0</v>
      </c>
      <c r="AD138" s="68">
        <v>0</v>
      </c>
      <c r="AE138" s="69">
        <v>0</v>
      </c>
    </row>
    <row r="139" spans="1:31" ht="15.5" x14ac:dyDescent="0.35">
      <c r="A139" s="64">
        <v>2024</v>
      </c>
      <c r="B139" s="64">
        <v>2</v>
      </c>
      <c r="C139" s="65">
        <v>45383</v>
      </c>
      <c r="D139" s="65">
        <v>45473</v>
      </c>
      <c r="E139" s="72">
        <f t="shared" si="132"/>
        <v>27532.636363636364</v>
      </c>
      <c r="F139" s="73">
        <v>70754.55</v>
      </c>
      <c r="G139" s="73">
        <f t="shared" si="136"/>
        <v>247793.72727272724</v>
      </c>
      <c r="H139" s="73">
        <f t="shared" si="137"/>
        <v>207509.41999999998</v>
      </c>
      <c r="I139" s="74">
        <f t="shared" si="128"/>
        <v>0.83742805874827708</v>
      </c>
      <c r="J139" s="75">
        <f t="shared" si="133"/>
        <v>1363.6363636363637</v>
      </c>
      <c r="K139" s="76">
        <v>4020.34</v>
      </c>
      <c r="L139" s="76">
        <f t="shared" si="147"/>
        <v>12272.727272727274</v>
      </c>
      <c r="M139" s="76">
        <f t="shared" si="138"/>
        <v>13590.2</v>
      </c>
      <c r="N139" s="78">
        <f t="shared" si="139"/>
        <v>1.1073496296296297</v>
      </c>
      <c r="O139" s="75">
        <v>0</v>
      </c>
      <c r="P139" s="76"/>
      <c r="Q139" s="76">
        <f t="shared" si="119"/>
        <v>0</v>
      </c>
      <c r="R139" s="76">
        <f t="shared" si="120"/>
        <v>0</v>
      </c>
      <c r="S139" s="78">
        <v>0</v>
      </c>
      <c r="T139" s="75">
        <f t="shared" si="134"/>
        <v>27535.986363636366</v>
      </c>
      <c r="U139" s="76">
        <v>0</v>
      </c>
      <c r="V139" s="76">
        <f t="shared" si="148"/>
        <v>247823.87727272726</v>
      </c>
      <c r="W139" s="76">
        <f t="shared" si="140"/>
        <v>0</v>
      </c>
      <c r="X139" s="78">
        <f t="shared" si="141"/>
        <v>0</v>
      </c>
      <c r="Y139" s="75">
        <f t="shared" si="135"/>
        <v>454.54545454545456</v>
      </c>
      <c r="Z139" s="76">
        <v>0</v>
      </c>
      <c r="AA139" s="76">
        <f t="shared" si="149"/>
        <v>4090.909090909091</v>
      </c>
      <c r="AB139" s="76">
        <f t="shared" si="142"/>
        <v>0</v>
      </c>
      <c r="AC139" s="78">
        <f t="shared" si="143"/>
        <v>0</v>
      </c>
      <c r="AD139" s="68">
        <v>0</v>
      </c>
      <c r="AE139" s="69">
        <v>0</v>
      </c>
    </row>
    <row r="140" spans="1:31" ht="15.5" x14ac:dyDescent="0.35">
      <c r="A140" s="64">
        <v>2024</v>
      </c>
      <c r="B140" s="64">
        <v>3</v>
      </c>
      <c r="C140" s="65">
        <v>45474</v>
      </c>
      <c r="D140" s="65">
        <v>45565</v>
      </c>
      <c r="E140" s="72">
        <f t="shared" si="132"/>
        <v>27532.636363636364</v>
      </c>
      <c r="F140" s="73">
        <v>65063.68</v>
      </c>
      <c r="G140" s="73">
        <f t="shared" si="136"/>
        <v>275326.36363636359</v>
      </c>
      <c r="H140" s="73">
        <f t="shared" si="137"/>
        <v>272573.09999999998</v>
      </c>
      <c r="I140" s="128">
        <f t="shared" si="128"/>
        <v>0.9900000000000001</v>
      </c>
      <c r="J140" s="75">
        <f t="shared" si="133"/>
        <v>1363.6363636363637</v>
      </c>
      <c r="K140" s="77">
        <v>0</v>
      </c>
      <c r="L140" s="77">
        <f t="shared" si="147"/>
        <v>13636.363636363638</v>
      </c>
      <c r="M140" s="77">
        <f t="shared" si="138"/>
        <v>13590.2</v>
      </c>
      <c r="N140" s="78">
        <f t="shared" si="139"/>
        <v>0.99661466666666665</v>
      </c>
      <c r="O140" s="75">
        <v>0</v>
      </c>
      <c r="P140" s="77">
        <v>0</v>
      </c>
      <c r="Q140" s="77">
        <f t="shared" si="119"/>
        <v>0</v>
      </c>
      <c r="R140" s="77">
        <f t="shared" si="120"/>
        <v>0</v>
      </c>
      <c r="S140" s="78">
        <v>0</v>
      </c>
      <c r="T140" s="75">
        <f t="shared" si="134"/>
        <v>27535.986363636366</v>
      </c>
      <c r="U140" s="77">
        <f>272606.26+30289.59</f>
        <v>302895.85000000003</v>
      </c>
      <c r="V140" s="77">
        <f t="shared" si="148"/>
        <v>275359.86363636365</v>
      </c>
      <c r="W140" s="77">
        <f t="shared" si="140"/>
        <v>302895.85000000003</v>
      </c>
      <c r="X140" s="78">
        <f t="shared" si="141"/>
        <v>1.1000000000000001</v>
      </c>
      <c r="Y140" s="75">
        <f t="shared" si="135"/>
        <v>454.54545454545456</v>
      </c>
      <c r="Z140" s="77">
        <v>0</v>
      </c>
      <c r="AA140" s="77">
        <f t="shared" si="149"/>
        <v>4545.454545454546</v>
      </c>
      <c r="AB140" s="77">
        <f t="shared" si="142"/>
        <v>0</v>
      </c>
      <c r="AC140" s="78">
        <f t="shared" si="143"/>
        <v>0</v>
      </c>
      <c r="AD140" s="14">
        <v>0</v>
      </c>
      <c r="AE140" s="3">
        <v>0</v>
      </c>
    </row>
    <row r="141" spans="1:31" ht="15.5" x14ac:dyDescent="0.35">
      <c r="A141" s="1">
        <v>2024</v>
      </c>
      <c r="B141" s="1">
        <v>4</v>
      </c>
      <c r="C141" s="2">
        <v>45566</v>
      </c>
      <c r="D141" s="2">
        <v>45657</v>
      </c>
      <c r="E141" s="21">
        <f t="shared" si="132"/>
        <v>27532.636363636364</v>
      </c>
      <c r="F141" s="18"/>
      <c r="G141" s="18">
        <f t="shared" si="136"/>
        <v>302858.99999999994</v>
      </c>
      <c r="H141" s="18">
        <f t="shared" si="137"/>
        <v>272573.09999999998</v>
      </c>
      <c r="I141" s="24">
        <f t="shared" si="128"/>
        <v>0.90000000000000013</v>
      </c>
      <c r="J141" s="10">
        <f t="shared" si="133"/>
        <v>1363.6363636363637</v>
      </c>
      <c r="K141" s="4"/>
      <c r="L141" s="4">
        <f t="shared" si="147"/>
        <v>15000.000000000002</v>
      </c>
      <c r="M141" s="4">
        <f t="shared" si="138"/>
        <v>13590.2</v>
      </c>
      <c r="N141" s="16">
        <f t="shared" si="139"/>
        <v>0.90601333333333323</v>
      </c>
      <c r="O141" s="11">
        <v>60000</v>
      </c>
      <c r="P141" s="4"/>
      <c r="Q141" s="4">
        <f t="shared" si="119"/>
        <v>60000</v>
      </c>
      <c r="R141" s="4">
        <f t="shared" si="120"/>
        <v>0</v>
      </c>
      <c r="S141" s="16">
        <f t="shared" ref="S141:S149" si="150">R141/Q141</f>
        <v>0</v>
      </c>
      <c r="T141" s="75">
        <f t="shared" si="134"/>
        <v>27535.986363636366</v>
      </c>
      <c r="U141" s="77"/>
      <c r="V141" s="77">
        <f t="shared" si="148"/>
        <v>302895.85000000003</v>
      </c>
      <c r="W141" s="77">
        <f t="shared" si="140"/>
        <v>302895.85000000003</v>
      </c>
      <c r="X141" s="78">
        <f t="shared" si="141"/>
        <v>1</v>
      </c>
      <c r="Y141" s="10">
        <f t="shared" si="135"/>
        <v>454.54545454545456</v>
      </c>
      <c r="Z141" s="4"/>
      <c r="AA141" s="4">
        <f t="shared" si="149"/>
        <v>5000.0000000000009</v>
      </c>
      <c r="AB141" s="4">
        <f t="shared" si="142"/>
        <v>0</v>
      </c>
      <c r="AC141" s="16">
        <f t="shared" si="143"/>
        <v>0</v>
      </c>
      <c r="AD141" s="14">
        <v>3</v>
      </c>
      <c r="AE141" s="3"/>
    </row>
    <row r="142" spans="1:31" ht="15.5" x14ac:dyDescent="0.35">
      <c r="A142" s="1">
        <v>2025</v>
      </c>
      <c r="B142" s="1">
        <v>1</v>
      </c>
      <c r="C142" s="2">
        <v>45658</v>
      </c>
      <c r="D142" s="2">
        <v>45747</v>
      </c>
      <c r="E142" s="22">
        <v>0</v>
      </c>
      <c r="F142" s="18"/>
      <c r="G142" s="18">
        <f t="shared" si="136"/>
        <v>302858.99999999994</v>
      </c>
      <c r="H142" s="18">
        <f t="shared" si="137"/>
        <v>272573.09999999998</v>
      </c>
      <c r="I142" s="24">
        <f t="shared" si="128"/>
        <v>0.90000000000000013</v>
      </c>
      <c r="J142" s="11">
        <v>0</v>
      </c>
      <c r="K142" s="4"/>
      <c r="L142" s="4">
        <f t="shared" si="147"/>
        <v>15000.000000000002</v>
      </c>
      <c r="M142" s="4">
        <f t="shared" si="138"/>
        <v>13590.2</v>
      </c>
      <c r="N142" s="16">
        <f t="shared" si="139"/>
        <v>0.90601333333333323</v>
      </c>
      <c r="O142" s="11">
        <v>0</v>
      </c>
      <c r="P142" s="4"/>
      <c r="Q142" s="4">
        <f t="shared" si="119"/>
        <v>60000</v>
      </c>
      <c r="R142" s="4">
        <f t="shared" si="120"/>
        <v>0</v>
      </c>
      <c r="S142" s="16">
        <f t="shared" si="150"/>
        <v>0</v>
      </c>
      <c r="T142" s="75">
        <v>0</v>
      </c>
      <c r="U142" s="77"/>
      <c r="V142" s="77">
        <f t="shared" si="148"/>
        <v>302895.85000000003</v>
      </c>
      <c r="W142" s="77">
        <f t="shared" si="140"/>
        <v>302895.85000000003</v>
      </c>
      <c r="X142" s="78">
        <f t="shared" si="141"/>
        <v>1</v>
      </c>
      <c r="Y142" s="10">
        <v>0</v>
      </c>
      <c r="Z142" s="4"/>
      <c r="AA142" s="4">
        <f t="shared" si="149"/>
        <v>5000.0000000000009</v>
      </c>
      <c r="AB142" s="4">
        <f t="shared" si="142"/>
        <v>0</v>
      </c>
      <c r="AC142" s="16">
        <f t="shared" si="143"/>
        <v>0</v>
      </c>
      <c r="AD142" s="14"/>
      <c r="AE142" s="3"/>
    </row>
    <row r="143" spans="1:31" ht="15.5" x14ac:dyDescent="0.35">
      <c r="A143" s="1">
        <v>2025</v>
      </c>
      <c r="B143" s="1">
        <v>2</v>
      </c>
      <c r="C143" s="2">
        <v>45748</v>
      </c>
      <c r="D143" s="2">
        <v>45838</v>
      </c>
      <c r="E143" s="22">
        <v>0</v>
      </c>
      <c r="F143" s="18"/>
      <c r="G143" s="18">
        <f t="shared" si="136"/>
        <v>302858.99999999994</v>
      </c>
      <c r="H143" s="18">
        <f t="shared" si="137"/>
        <v>272573.09999999998</v>
      </c>
      <c r="I143" s="24">
        <f t="shared" si="128"/>
        <v>0.90000000000000013</v>
      </c>
      <c r="J143" s="11">
        <v>0</v>
      </c>
      <c r="K143" s="4"/>
      <c r="L143" s="4">
        <f t="shared" si="147"/>
        <v>15000.000000000002</v>
      </c>
      <c r="M143" s="4">
        <f t="shared" si="138"/>
        <v>13590.2</v>
      </c>
      <c r="N143" s="16">
        <f t="shared" si="139"/>
        <v>0.90601333333333323</v>
      </c>
      <c r="O143" s="11">
        <v>0</v>
      </c>
      <c r="P143" s="4"/>
      <c r="Q143" s="4">
        <f t="shared" si="119"/>
        <v>60000</v>
      </c>
      <c r="R143" s="4">
        <f t="shared" si="120"/>
        <v>0</v>
      </c>
      <c r="S143" s="16">
        <f t="shared" si="150"/>
        <v>0</v>
      </c>
      <c r="T143" s="75">
        <v>0</v>
      </c>
      <c r="U143" s="77"/>
      <c r="V143" s="77">
        <f t="shared" si="148"/>
        <v>302895.85000000003</v>
      </c>
      <c r="W143" s="77">
        <f t="shared" si="140"/>
        <v>302895.85000000003</v>
      </c>
      <c r="X143" s="78">
        <f t="shared" si="141"/>
        <v>1</v>
      </c>
      <c r="Y143" s="11">
        <v>0</v>
      </c>
      <c r="Z143" s="4"/>
      <c r="AA143" s="4">
        <f t="shared" si="149"/>
        <v>5000.0000000000009</v>
      </c>
      <c r="AB143" s="4">
        <f t="shared" si="142"/>
        <v>0</v>
      </c>
      <c r="AC143" s="16">
        <f t="shared" si="143"/>
        <v>0</v>
      </c>
      <c r="AD143" s="14"/>
      <c r="AE143" s="3"/>
    </row>
    <row r="144" spans="1:31" ht="15.5" x14ac:dyDescent="0.35">
      <c r="A144" s="1">
        <v>2025</v>
      </c>
      <c r="B144" s="1">
        <v>3</v>
      </c>
      <c r="C144" s="2">
        <v>45839</v>
      </c>
      <c r="D144" s="2">
        <v>45930</v>
      </c>
      <c r="E144" s="22">
        <v>0</v>
      </c>
      <c r="F144" s="18"/>
      <c r="G144" s="18">
        <f t="shared" si="136"/>
        <v>302858.99999999994</v>
      </c>
      <c r="H144" s="18">
        <f t="shared" si="137"/>
        <v>272573.09999999998</v>
      </c>
      <c r="I144" s="24">
        <f t="shared" si="128"/>
        <v>0.90000000000000013</v>
      </c>
      <c r="J144" s="11">
        <v>0</v>
      </c>
      <c r="K144" s="4"/>
      <c r="L144" s="4">
        <f t="shared" si="147"/>
        <v>15000.000000000002</v>
      </c>
      <c r="M144" s="4">
        <f t="shared" si="138"/>
        <v>13590.2</v>
      </c>
      <c r="N144" s="16">
        <f t="shared" si="139"/>
        <v>0.90601333333333323</v>
      </c>
      <c r="O144" s="11">
        <v>0</v>
      </c>
      <c r="P144" s="4"/>
      <c r="Q144" s="4">
        <f t="shared" si="119"/>
        <v>60000</v>
      </c>
      <c r="R144" s="4">
        <f t="shared" si="120"/>
        <v>0</v>
      </c>
      <c r="S144" s="16">
        <f t="shared" si="150"/>
        <v>0</v>
      </c>
      <c r="T144" s="75">
        <v>0</v>
      </c>
      <c r="U144" s="77"/>
      <c r="V144" s="77">
        <f t="shared" si="148"/>
        <v>302895.85000000003</v>
      </c>
      <c r="W144" s="77">
        <f t="shared" si="140"/>
        <v>302895.85000000003</v>
      </c>
      <c r="X144" s="78">
        <f t="shared" si="141"/>
        <v>1</v>
      </c>
      <c r="Y144" s="11">
        <v>0</v>
      </c>
      <c r="Z144" s="4"/>
      <c r="AA144" s="4">
        <f t="shared" si="149"/>
        <v>5000.0000000000009</v>
      </c>
      <c r="AB144" s="4">
        <f t="shared" si="142"/>
        <v>0</v>
      </c>
      <c r="AC144" s="16">
        <f t="shared" si="143"/>
        <v>0</v>
      </c>
      <c r="AD144" s="14"/>
      <c r="AE144" s="3"/>
    </row>
    <row r="145" spans="1:35" ht="15.5" x14ac:dyDescent="0.35">
      <c r="A145" s="1">
        <v>2025</v>
      </c>
      <c r="B145" s="1">
        <v>4</v>
      </c>
      <c r="C145" s="2">
        <v>45931</v>
      </c>
      <c r="D145" s="2">
        <v>46022</v>
      </c>
      <c r="E145" s="22">
        <v>0</v>
      </c>
      <c r="F145" s="18"/>
      <c r="G145" s="18">
        <f t="shared" si="136"/>
        <v>302858.99999999994</v>
      </c>
      <c r="H145" s="18">
        <f t="shared" si="137"/>
        <v>272573.09999999998</v>
      </c>
      <c r="I145" s="24">
        <f t="shared" si="128"/>
        <v>0.90000000000000013</v>
      </c>
      <c r="J145" s="11">
        <v>0</v>
      </c>
      <c r="K145" s="4"/>
      <c r="L145" s="4">
        <f t="shared" si="147"/>
        <v>15000.000000000002</v>
      </c>
      <c r="M145" s="4">
        <f t="shared" si="138"/>
        <v>13590.2</v>
      </c>
      <c r="N145" s="16">
        <f t="shared" si="139"/>
        <v>0.90601333333333323</v>
      </c>
      <c r="O145" s="11">
        <v>0</v>
      </c>
      <c r="P145" s="4"/>
      <c r="Q145" s="4">
        <f t="shared" si="119"/>
        <v>60000</v>
      </c>
      <c r="R145" s="4">
        <f t="shared" si="120"/>
        <v>0</v>
      </c>
      <c r="S145" s="16">
        <f t="shared" si="150"/>
        <v>0</v>
      </c>
      <c r="T145" s="75">
        <v>0</v>
      </c>
      <c r="U145" s="77"/>
      <c r="V145" s="77">
        <f t="shared" si="148"/>
        <v>302895.85000000003</v>
      </c>
      <c r="W145" s="77">
        <f t="shared" si="140"/>
        <v>302895.85000000003</v>
      </c>
      <c r="X145" s="78">
        <f t="shared" si="141"/>
        <v>1</v>
      </c>
      <c r="Y145" s="11">
        <v>0</v>
      </c>
      <c r="Z145" s="4"/>
      <c r="AA145" s="4">
        <f t="shared" si="149"/>
        <v>5000.0000000000009</v>
      </c>
      <c r="AB145" s="4">
        <f t="shared" si="142"/>
        <v>0</v>
      </c>
      <c r="AC145" s="16">
        <f t="shared" si="143"/>
        <v>0</v>
      </c>
      <c r="AD145" s="14"/>
      <c r="AE145" s="3"/>
    </row>
    <row r="146" spans="1:35" ht="15.5" x14ac:dyDescent="0.35">
      <c r="A146" s="1">
        <v>2026</v>
      </c>
      <c r="B146" s="1">
        <v>1</v>
      </c>
      <c r="C146" s="2">
        <v>46023</v>
      </c>
      <c r="D146" s="2">
        <v>46112</v>
      </c>
      <c r="E146" s="22">
        <v>0</v>
      </c>
      <c r="F146" s="18"/>
      <c r="G146" s="18">
        <f t="shared" si="136"/>
        <v>302858.99999999994</v>
      </c>
      <c r="H146" s="18">
        <f t="shared" si="137"/>
        <v>272573.09999999998</v>
      </c>
      <c r="I146" s="24">
        <f>H146/G146</f>
        <v>0.90000000000000013</v>
      </c>
      <c r="J146" s="11">
        <v>0</v>
      </c>
      <c r="K146" s="4"/>
      <c r="L146" s="4">
        <f t="shared" si="147"/>
        <v>15000.000000000002</v>
      </c>
      <c r="M146" s="4">
        <f t="shared" si="138"/>
        <v>13590.2</v>
      </c>
      <c r="N146" s="16">
        <f t="shared" si="139"/>
        <v>0.90601333333333323</v>
      </c>
      <c r="O146" s="11">
        <v>0</v>
      </c>
      <c r="P146" s="4"/>
      <c r="Q146" s="4">
        <f t="shared" si="119"/>
        <v>60000</v>
      </c>
      <c r="R146" s="4">
        <f t="shared" si="120"/>
        <v>0</v>
      </c>
      <c r="S146" s="16">
        <f t="shared" si="150"/>
        <v>0</v>
      </c>
      <c r="T146" s="75">
        <v>0</v>
      </c>
      <c r="U146" s="77"/>
      <c r="V146" s="77">
        <f t="shared" si="148"/>
        <v>302895.85000000003</v>
      </c>
      <c r="W146" s="77">
        <f t="shared" si="140"/>
        <v>302895.85000000003</v>
      </c>
      <c r="X146" s="78">
        <f t="shared" si="141"/>
        <v>1</v>
      </c>
      <c r="Y146" s="11">
        <v>0</v>
      </c>
      <c r="Z146" s="4"/>
      <c r="AA146" s="4">
        <f t="shared" si="149"/>
        <v>5000.0000000000009</v>
      </c>
      <c r="AB146" s="4">
        <f t="shared" si="142"/>
        <v>0</v>
      </c>
      <c r="AC146" s="16">
        <f t="shared" si="143"/>
        <v>0</v>
      </c>
      <c r="AD146" s="14"/>
      <c r="AE146" s="3"/>
    </row>
    <row r="147" spans="1:35" ht="15.5" x14ac:dyDescent="0.35">
      <c r="A147" s="1">
        <v>2026</v>
      </c>
      <c r="B147" s="1">
        <v>2</v>
      </c>
      <c r="C147" s="2">
        <v>46113</v>
      </c>
      <c r="D147" s="2">
        <v>46203</v>
      </c>
      <c r="E147" s="22">
        <v>0</v>
      </c>
      <c r="F147" s="18"/>
      <c r="G147" s="18">
        <f t="shared" si="136"/>
        <v>302858.99999999994</v>
      </c>
      <c r="H147" s="18">
        <f t="shared" si="137"/>
        <v>272573.09999999998</v>
      </c>
      <c r="I147" s="24">
        <f t="shared" ref="I147:I148" si="151">H147/G147</f>
        <v>0.90000000000000013</v>
      </c>
      <c r="J147" s="11">
        <v>0</v>
      </c>
      <c r="K147" s="4"/>
      <c r="L147" s="4">
        <f t="shared" si="147"/>
        <v>15000.000000000002</v>
      </c>
      <c r="M147" s="4">
        <f t="shared" si="138"/>
        <v>13590.2</v>
      </c>
      <c r="N147" s="16">
        <f t="shared" si="139"/>
        <v>0.90601333333333323</v>
      </c>
      <c r="O147" s="11">
        <v>0</v>
      </c>
      <c r="P147" s="4"/>
      <c r="Q147" s="4">
        <f t="shared" si="119"/>
        <v>60000</v>
      </c>
      <c r="R147" s="4">
        <f t="shared" si="120"/>
        <v>0</v>
      </c>
      <c r="S147" s="16">
        <f t="shared" si="150"/>
        <v>0</v>
      </c>
      <c r="T147" s="75">
        <v>0</v>
      </c>
      <c r="U147" s="77"/>
      <c r="V147" s="77">
        <f t="shared" si="148"/>
        <v>302895.85000000003</v>
      </c>
      <c r="W147" s="77">
        <f t="shared" si="140"/>
        <v>302895.85000000003</v>
      </c>
      <c r="X147" s="78">
        <f t="shared" si="141"/>
        <v>1</v>
      </c>
      <c r="Y147" s="11">
        <v>0</v>
      </c>
      <c r="Z147" s="4"/>
      <c r="AA147" s="4">
        <f t="shared" si="149"/>
        <v>5000.0000000000009</v>
      </c>
      <c r="AB147" s="4">
        <f t="shared" si="142"/>
        <v>0</v>
      </c>
      <c r="AC147" s="16">
        <f t="shared" si="143"/>
        <v>0</v>
      </c>
      <c r="AD147" s="14"/>
      <c r="AE147" s="3"/>
    </row>
    <row r="148" spans="1:35" ht="15.5" x14ac:dyDescent="0.35">
      <c r="A148" s="1">
        <v>2026</v>
      </c>
      <c r="B148" s="1">
        <v>3</v>
      </c>
      <c r="C148" s="2">
        <v>46204</v>
      </c>
      <c r="D148" s="2">
        <v>46295</v>
      </c>
      <c r="E148" s="22">
        <v>0</v>
      </c>
      <c r="F148" s="18"/>
      <c r="G148" s="18">
        <f t="shared" si="136"/>
        <v>302858.99999999994</v>
      </c>
      <c r="H148" s="18">
        <f>SUM(H147+F148)</f>
        <v>272573.09999999998</v>
      </c>
      <c r="I148" s="24">
        <f t="shared" si="151"/>
        <v>0.90000000000000013</v>
      </c>
      <c r="J148" s="11">
        <v>0</v>
      </c>
      <c r="K148" s="15"/>
      <c r="L148" s="15">
        <f t="shared" si="147"/>
        <v>15000.000000000002</v>
      </c>
      <c r="M148" s="15">
        <f t="shared" si="138"/>
        <v>13590.2</v>
      </c>
      <c r="N148" s="16">
        <f t="shared" si="139"/>
        <v>0.90601333333333323</v>
      </c>
      <c r="O148" s="11">
        <v>0</v>
      </c>
      <c r="P148" s="15"/>
      <c r="Q148" s="15">
        <f t="shared" si="119"/>
        <v>60000</v>
      </c>
      <c r="R148" s="15">
        <f t="shared" si="120"/>
        <v>0</v>
      </c>
      <c r="S148" s="16">
        <f t="shared" si="150"/>
        <v>0</v>
      </c>
      <c r="T148" s="75">
        <v>0</v>
      </c>
      <c r="U148" s="132"/>
      <c r="V148" s="132">
        <f t="shared" si="148"/>
        <v>302895.85000000003</v>
      </c>
      <c r="W148" s="132">
        <f t="shared" si="140"/>
        <v>302895.85000000003</v>
      </c>
      <c r="X148" s="78">
        <f t="shared" si="141"/>
        <v>1</v>
      </c>
      <c r="Y148" s="11">
        <v>0</v>
      </c>
      <c r="Z148" s="15"/>
      <c r="AA148" s="15">
        <f t="shared" si="149"/>
        <v>5000.0000000000009</v>
      </c>
      <c r="AB148" s="15">
        <f t="shared" si="142"/>
        <v>0</v>
      </c>
      <c r="AC148" s="16">
        <f t="shared" si="143"/>
        <v>0</v>
      </c>
      <c r="AD148" s="14"/>
      <c r="AE148" s="3"/>
    </row>
    <row r="149" spans="1:35" ht="15" thickBot="1" x14ac:dyDescent="0.4">
      <c r="A149" s="36" t="s">
        <v>12</v>
      </c>
      <c r="B149" s="36"/>
      <c r="C149" s="36"/>
      <c r="D149" s="37"/>
      <c r="E149" s="38">
        <f>272573.1+30285.9</f>
        <v>302859</v>
      </c>
      <c r="F149" s="34">
        <f>SUM(F125:F148)</f>
        <v>272573.09999999998</v>
      </c>
      <c r="G149" s="34">
        <f>G148</f>
        <v>302858.99999999994</v>
      </c>
      <c r="H149" s="35">
        <f>H148</f>
        <v>272573.09999999998</v>
      </c>
      <c r="I149" s="45">
        <f>H149/G149</f>
        <v>0.90000000000000013</v>
      </c>
      <c r="J149" s="39">
        <v>15000</v>
      </c>
      <c r="K149" s="46">
        <f>SUM(K125:K148)</f>
        <v>13590.2</v>
      </c>
      <c r="L149" s="40">
        <f>L148</f>
        <v>15000.000000000002</v>
      </c>
      <c r="M149" s="41">
        <f>M148</f>
        <v>13590.2</v>
      </c>
      <c r="N149" s="42">
        <f>M149/L149</f>
        <v>0.90601333333333323</v>
      </c>
      <c r="O149" s="39">
        <v>105000</v>
      </c>
      <c r="P149" s="46">
        <f>SUM(P125:P148)</f>
        <v>0</v>
      </c>
      <c r="Q149" s="40">
        <f>Q148</f>
        <v>60000</v>
      </c>
      <c r="R149" s="41">
        <f>R148</f>
        <v>0</v>
      </c>
      <c r="S149" s="42">
        <f t="shared" si="150"/>
        <v>0</v>
      </c>
      <c r="T149" s="138">
        <f>272606.26+(30289.59)</f>
        <v>302895.85000000003</v>
      </c>
      <c r="U149" s="139">
        <f>SUM(U125:U148)</f>
        <v>302895.85000000003</v>
      </c>
      <c r="V149" s="140">
        <f>V148</f>
        <v>302895.85000000003</v>
      </c>
      <c r="W149" s="141">
        <f>W148</f>
        <v>302895.85000000003</v>
      </c>
      <c r="X149" s="142">
        <f>W149/V149</f>
        <v>1</v>
      </c>
      <c r="Y149" s="39">
        <v>5000</v>
      </c>
      <c r="Z149" s="46">
        <f>SUM(Z125:Z148)</f>
        <v>0</v>
      </c>
      <c r="AA149" s="40">
        <f>AA148</f>
        <v>5000.0000000000009</v>
      </c>
      <c r="AB149" s="41">
        <f>AB148</f>
        <v>0</v>
      </c>
      <c r="AC149" s="42">
        <f>AB149/AA149</f>
        <v>0</v>
      </c>
      <c r="AD149" s="43">
        <f>SUM(AD125:AD148)</f>
        <v>3</v>
      </c>
      <c r="AE149" s="43">
        <f>SUM(AE125:AE148)</f>
        <v>0</v>
      </c>
    </row>
    <row r="150" spans="1:35" ht="15" thickTop="1" x14ac:dyDescent="0.35">
      <c r="A150" s="28"/>
      <c r="B150" s="28"/>
      <c r="C150" s="28"/>
      <c r="D150" s="28"/>
      <c r="E150" s="160">
        <f>E149+J149+O149</f>
        <v>422859</v>
      </c>
      <c r="F150" s="29"/>
      <c r="G150" s="29"/>
      <c r="H150" s="30"/>
      <c r="I150" s="44"/>
      <c r="J150" s="31"/>
      <c r="K150" s="31"/>
      <c r="L150" s="29"/>
      <c r="M150" s="30"/>
      <c r="N150" s="44"/>
      <c r="O150" s="28"/>
      <c r="P150" s="28"/>
      <c r="T150" s="161">
        <f>T149+Y149</f>
        <v>307895.85000000003</v>
      </c>
    </row>
    <row r="151" spans="1:35" x14ac:dyDescent="0.35">
      <c r="A151" s="28"/>
      <c r="B151" s="28"/>
      <c r="C151" s="28"/>
      <c r="D151" s="28"/>
      <c r="E151" s="29"/>
      <c r="F151" s="29"/>
      <c r="G151" s="29"/>
      <c r="H151" s="30"/>
      <c r="I151" s="44"/>
      <c r="J151" s="31"/>
      <c r="K151" s="31"/>
      <c r="L151" s="29"/>
      <c r="M151" s="30"/>
      <c r="N151" s="44"/>
      <c r="O151" s="28"/>
      <c r="P151" s="28"/>
    </row>
    <row r="152" spans="1:35" x14ac:dyDescent="0.35">
      <c r="A152" s="198" t="s">
        <v>67</v>
      </c>
      <c r="B152" s="198"/>
      <c r="C152" s="198"/>
      <c r="D152" s="198"/>
      <c r="E152" s="198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122"/>
      <c r="W152" s="122"/>
      <c r="X152" s="122"/>
      <c r="Y152" s="122"/>
      <c r="Z152" s="122"/>
      <c r="AA152" s="122"/>
    </row>
    <row r="153" spans="1:35" ht="15" thickBot="1" x14ac:dyDescent="0.4">
      <c r="A153" s="202" t="s">
        <v>0</v>
      </c>
      <c r="B153" s="204"/>
      <c r="C153" s="204"/>
      <c r="D153" s="204"/>
      <c r="E153" s="193" t="s">
        <v>18</v>
      </c>
      <c r="F153" s="193"/>
      <c r="G153" s="193"/>
      <c r="H153" s="193"/>
      <c r="I153" s="194"/>
      <c r="J153" s="195" t="s">
        <v>17</v>
      </c>
      <c r="K153" s="196"/>
      <c r="L153" s="196"/>
      <c r="M153" s="196"/>
      <c r="N153" s="197"/>
      <c r="O153" s="205" t="s">
        <v>56</v>
      </c>
      <c r="P153" s="205"/>
      <c r="Q153" s="205"/>
      <c r="R153" s="205"/>
      <c r="S153" s="205"/>
      <c r="T153" s="204"/>
      <c r="U153" s="203"/>
    </row>
    <row r="154" spans="1:35" ht="44" thickTop="1" x14ac:dyDescent="0.35">
      <c r="A154" s="7" t="s">
        <v>1</v>
      </c>
      <c r="B154" s="7" t="s">
        <v>2</v>
      </c>
      <c r="C154" s="7" t="s">
        <v>3</v>
      </c>
      <c r="D154" s="9" t="s">
        <v>9</v>
      </c>
      <c r="E154" s="19" t="s">
        <v>4</v>
      </c>
      <c r="F154" s="20" t="s">
        <v>6</v>
      </c>
      <c r="G154" s="20" t="s">
        <v>5</v>
      </c>
      <c r="H154" s="20" t="s">
        <v>7</v>
      </c>
      <c r="I154" s="23" t="s">
        <v>8</v>
      </c>
      <c r="J154" s="25" t="s">
        <v>4</v>
      </c>
      <c r="K154" s="26" t="s">
        <v>6</v>
      </c>
      <c r="L154" s="26" t="s">
        <v>5</v>
      </c>
      <c r="M154" s="26" t="s">
        <v>7</v>
      </c>
      <c r="N154" s="27" t="s">
        <v>8</v>
      </c>
      <c r="O154" s="84" t="s">
        <v>4</v>
      </c>
      <c r="P154" s="85" t="s">
        <v>6</v>
      </c>
      <c r="Q154" s="85" t="s">
        <v>5</v>
      </c>
      <c r="R154" s="85" t="s">
        <v>7</v>
      </c>
      <c r="S154" s="86" t="s">
        <v>8</v>
      </c>
      <c r="T154" s="13" t="s">
        <v>10</v>
      </c>
      <c r="U154" s="8" t="s">
        <v>11</v>
      </c>
    </row>
    <row r="155" spans="1:35" ht="15.5" x14ac:dyDescent="0.35">
      <c r="A155" s="64">
        <v>2020</v>
      </c>
      <c r="B155" s="64">
        <v>4</v>
      </c>
      <c r="C155" s="65">
        <v>44105</v>
      </c>
      <c r="D155" s="65">
        <v>44196</v>
      </c>
      <c r="E155" s="66">
        <v>0</v>
      </c>
      <c r="F155" s="66">
        <v>0</v>
      </c>
      <c r="G155" s="66">
        <v>0</v>
      </c>
      <c r="H155" s="66">
        <v>0</v>
      </c>
      <c r="I155" s="67">
        <v>0</v>
      </c>
      <c r="J155" s="66">
        <v>0</v>
      </c>
      <c r="K155" s="66">
        <v>0</v>
      </c>
      <c r="L155" s="66">
        <v>0</v>
      </c>
      <c r="M155" s="66">
        <v>0</v>
      </c>
      <c r="N155" s="67">
        <v>0</v>
      </c>
      <c r="O155" s="66">
        <v>0</v>
      </c>
      <c r="P155" s="66">
        <v>0</v>
      </c>
      <c r="Q155" s="66">
        <v>0</v>
      </c>
      <c r="R155" s="66">
        <v>0</v>
      </c>
      <c r="S155" s="67">
        <v>0</v>
      </c>
      <c r="T155" s="68">
        <v>0</v>
      </c>
      <c r="U155" s="69">
        <v>0</v>
      </c>
    </row>
    <row r="156" spans="1:35" ht="15.5" x14ac:dyDescent="0.35">
      <c r="A156" s="64">
        <v>2021</v>
      </c>
      <c r="B156" s="64">
        <v>1</v>
      </c>
      <c r="C156" s="65">
        <v>44197</v>
      </c>
      <c r="D156" s="65">
        <v>44286</v>
      </c>
      <c r="E156" s="66">
        <v>0</v>
      </c>
      <c r="F156" s="66">
        <v>0</v>
      </c>
      <c r="G156" s="66">
        <v>0</v>
      </c>
      <c r="H156" s="66">
        <v>0</v>
      </c>
      <c r="I156" s="67">
        <v>0</v>
      </c>
      <c r="J156" s="66">
        <v>0</v>
      </c>
      <c r="K156" s="66">
        <v>0</v>
      </c>
      <c r="L156" s="66">
        <v>0</v>
      </c>
      <c r="M156" s="66">
        <v>0</v>
      </c>
      <c r="N156" s="67">
        <v>0</v>
      </c>
      <c r="O156" s="66">
        <v>0</v>
      </c>
      <c r="P156" s="66">
        <v>0</v>
      </c>
      <c r="Q156" s="66">
        <v>0</v>
      </c>
      <c r="R156" s="66">
        <v>0</v>
      </c>
      <c r="S156" s="67">
        <v>0</v>
      </c>
      <c r="T156" s="68">
        <v>0</v>
      </c>
      <c r="U156" s="69">
        <v>0</v>
      </c>
    </row>
    <row r="157" spans="1:35" s="108" customFormat="1" ht="15.5" x14ac:dyDescent="0.35">
      <c r="A157" s="89">
        <v>2021</v>
      </c>
      <c r="B157" s="89">
        <v>2</v>
      </c>
      <c r="C157" s="90">
        <v>44287</v>
      </c>
      <c r="D157" s="90">
        <v>44377</v>
      </c>
      <c r="E157" s="100">
        <v>0</v>
      </c>
      <c r="F157" s="92">
        <v>0</v>
      </c>
      <c r="G157" s="92">
        <f>E157</f>
        <v>0</v>
      </c>
      <c r="H157" s="92">
        <f>SUM(F157+0)</f>
        <v>0</v>
      </c>
      <c r="I157" s="101">
        <v>0</v>
      </c>
      <c r="J157" s="102">
        <v>0</v>
      </c>
      <c r="K157" s="103">
        <v>0</v>
      </c>
      <c r="L157" s="104">
        <f>J157</f>
        <v>0</v>
      </c>
      <c r="M157" s="103">
        <f>SUM(K157+0)</f>
        <v>0</v>
      </c>
      <c r="N157" s="105">
        <v>0</v>
      </c>
      <c r="O157" s="102">
        <v>0</v>
      </c>
      <c r="P157" s="103">
        <v>0</v>
      </c>
      <c r="Q157" s="104">
        <f>O157</f>
        <v>0</v>
      </c>
      <c r="R157" s="103">
        <f>SUM(P157+0)</f>
        <v>0</v>
      </c>
      <c r="S157" s="105">
        <v>0</v>
      </c>
      <c r="T157" s="106">
        <v>0</v>
      </c>
      <c r="U157" s="107">
        <v>0</v>
      </c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t="15.5" x14ac:dyDescent="0.35">
      <c r="A158" s="64">
        <v>2021</v>
      </c>
      <c r="B158" s="64">
        <v>3</v>
      </c>
      <c r="C158" s="65">
        <v>44378</v>
      </c>
      <c r="D158" s="65">
        <v>44469</v>
      </c>
      <c r="E158" s="72">
        <v>0</v>
      </c>
      <c r="F158" s="73"/>
      <c r="G158" s="73">
        <f t="shared" ref="G158:G159" si="152">G157+E158</f>
        <v>0</v>
      </c>
      <c r="H158" s="73">
        <f t="shared" ref="H158:H162" si="153">SUM(H157+F158)</f>
        <v>0</v>
      </c>
      <c r="I158" s="74">
        <v>0</v>
      </c>
      <c r="J158" s="75">
        <v>0</v>
      </c>
      <c r="K158" s="76"/>
      <c r="L158" s="76">
        <f>L157+J158</f>
        <v>0</v>
      </c>
      <c r="M158" s="76">
        <f>SUM(M157+K158)</f>
        <v>0</v>
      </c>
      <c r="N158" s="78">
        <v>0</v>
      </c>
      <c r="O158" s="75">
        <v>0</v>
      </c>
      <c r="P158" s="76"/>
      <c r="Q158" s="76">
        <f t="shared" ref="Q158:Q178" si="154">Q157+O158</f>
        <v>0</v>
      </c>
      <c r="R158" s="76">
        <f t="shared" ref="R158:R178" si="155">SUM(R157+P158)</f>
        <v>0</v>
      </c>
      <c r="S158" s="78">
        <v>0</v>
      </c>
      <c r="T158" s="68">
        <v>0</v>
      </c>
      <c r="U158" s="69">
        <v>0</v>
      </c>
    </row>
    <row r="159" spans="1:35" ht="15.5" x14ac:dyDescent="0.35">
      <c r="A159" s="64">
        <v>2022</v>
      </c>
      <c r="B159" s="64">
        <v>4</v>
      </c>
      <c r="C159" s="65">
        <v>44470</v>
      </c>
      <c r="D159" s="65">
        <v>44561</v>
      </c>
      <c r="E159" s="72">
        <v>0</v>
      </c>
      <c r="F159" s="73">
        <v>0</v>
      </c>
      <c r="G159" s="73">
        <f t="shared" si="152"/>
        <v>0</v>
      </c>
      <c r="H159" s="73">
        <f t="shared" si="153"/>
        <v>0</v>
      </c>
      <c r="I159" s="74">
        <v>0</v>
      </c>
      <c r="J159" s="75">
        <v>0</v>
      </c>
      <c r="K159" s="76">
        <v>0</v>
      </c>
      <c r="L159" s="76">
        <f t="shared" ref="L159:L162" si="156">L158+J159</f>
        <v>0</v>
      </c>
      <c r="M159" s="76">
        <f t="shared" ref="M159:M161" si="157">SUM(M158+K159)</f>
        <v>0</v>
      </c>
      <c r="N159" s="78">
        <v>0</v>
      </c>
      <c r="O159" s="75">
        <v>0</v>
      </c>
      <c r="P159" s="76">
        <v>0</v>
      </c>
      <c r="Q159" s="76">
        <f t="shared" si="154"/>
        <v>0</v>
      </c>
      <c r="R159" s="76">
        <f t="shared" si="155"/>
        <v>0</v>
      </c>
      <c r="S159" s="78">
        <v>0</v>
      </c>
      <c r="T159" s="68">
        <v>0</v>
      </c>
      <c r="U159" s="69">
        <v>0</v>
      </c>
    </row>
    <row r="160" spans="1:35" ht="15.5" x14ac:dyDescent="0.35">
      <c r="A160" s="64">
        <v>2022</v>
      </c>
      <c r="B160" s="64">
        <v>1</v>
      </c>
      <c r="C160" s="65">
        <v>44562</v>
      </c>
      <c r="D160" s="65">
        <v>44651</v>
      </c>
      <c r="E160" s="72">
        <v>0</v>
      </c>
      <c r="F160" s="73">
        <v>0</v>
      </c>
      <c r="G160" s="73">
        <f>G159+E160</f>
        <v>0</v>
      </c>
      <c r="H160" s="73">
        <f t="shared" si="153"/>
        <v>0</v>
      </c>
      <c r="I160" s="74">
        <v>0</v>
      </c>
      <c r="J160" s="75">
        <v>0</v>
      </c>
      <c r="K160" s="76">
        <v>0</v>
      </c>
      <c r="L160" s="76">
        <f t="shared" si="156"/>
        <v>0</v>
      </c>
      <c r="M160" s="76">
        <f t="shared" si="157"/>
        <v>0</v>
      </c>
      <c r="N160" s="78">
        <v>0</v>
      </c>
      <c r="O160" s="75">
        <v>0</v>
      </c>
      <c r="P160" s="76">
        <v>0</v>
      </c>
      <c r="Q160" s="76">
        <f t="shared" si="154"/>
        <v>0</v>
      </c>
      <c r="R160" s="76">
        <f t="shared" si="155"/>
        <v>0</v>
      </c>
      <c r="S160" s="78">
        <v>0</v>
      </c>
      <c r="T160" s="68">
        <v>0</v>
      </c>
      <c r="U160" s="69">
        <v>0</v>
      </c>
    </row>
    <row r="161" spans="1:21" ht="15.5" x14ac:dyDescent="0.35">
      <c r="A161" s="64">
        <v>2022</v>
      </c>
      <c r="B161" s="64">
        <v>2</v>
      </c>
      <c r="C161" s="65">
        <v>44652</v>
      </c>
      <c r="D161" s="65">
        <v>44742</v>
      </c>
      <c r="E161" s="72">
        <f>$E$179/8</f>
        <v>0</v>
      </c>
      <c r="F161" s="73">
        <v>0</v>
      </c>
      <c r="G161" s="73">
        <f t="shared" ref="G161:G162" si="158">G160+E161</f>
        <v>0</v>
      </c>
      <c r="H161" s="73">
        <f t="shared" si="153"/>
        <v>0</v>
      </c>
      <c r="I161" s="74" t="e">
        <f t="shared" ref="I161:I175" si="159">H161/G161</f>
        <v>#DIV/0!</v>
      </c>
      <c r="J161" s="75">
        <f>$J$179/8</f>
        <v>0</v>
      </c>
      <c r="K161" s="76">
        <v>0</v>
      </c>
      <c r="L161" s="76">
        <f t="shared" si="156"/>
        <v>0</v>
      </c>
      <c r="M161" s="76">
        <f t="shared" si="157"/>
        <v>0</v>
      </c>
      <c r="N161" s="78" t="e">
        <f t="shared" ref="N161:N162" si="160">M161/L161</f>
        <v>#DIV/0!</v>
      </c>
      <c r="O161" s="75">
        <v>0</v>
      </c>
      <c r="P161" s="76">
        <v>0</v>
      </c>
      <c r="Q161" s="76">
        <f t="shared" si="154"/>
        <v>0</v>
      </c>
      <c r="R161" s="76">
        <f t="shared" si="155"/>
        <v>0</v>
      </c>
      <c r="S161" s="78">
        <v>0</v>
      </c>
      <c r="T161" s="68">
        <v>0</v>
      </c>
      <c r="U161" s="69">
        <v>0</v>
      </c>
    </row>
    <row r="162" spans="1:21" ht="15.5" x14ac:dyDescent="0.35">
      <c r="A162" s="64">
        <v>2022</v>
      </c>
      <c r="B162" s="64">
        <v>3</v>
      </c>
      <c r="C162" s="65">
        <v>44743</v>
      </c>
      <c r="D162" s="65">
        <v>44834</v>
      </c>
      <c r="E162" s="72">
        <f t="shared" ref="E162:E168" si="161">$E$179/8</f>
        <v>0</v>
      </c>
      <c r="F162" s="73">
        <v>0</v>
      </c>
      <c r="G162" s="73">
        <f t="shared" si="158"/>
        <v>0</v>
      </c>
      <c r="H162" s="73">
        <f t="shared" si="153"/>
        <v>0</v>
      </c>
      <c r="I162" s="74" t="e">
        <f t="shared" si="159"/>
        <v>#DIV/0!</v>
      </c>
      <c r="J162" s="75">
        <f t="shared" ref="J162:J168" si="162">$J$179/8</f>
        <v>0</v>
      </c>
      <c r="K162" s="76">
        <v>0</v>
      </c>
      <c r="L162" s="76">
        <f t="shared" si="156"/>
        <v>0</v>
      </c>
      <c r="M162" s="76">
        <f>SUM(M161+K162)</f>
        <v>0</v>
      </c>
      <c r="N162" s="78" t="e">
        <f t="shared" si="160"/>
        <v>#DIV/0!</v>
      </c>
      <c r="O162" s="75">
        <v>0</v>
      </c>
      <c r="P162" s="76">
        <v>0</v>
      </c>
      <c r="Q162" s="76">
        <f t="shared" si="154"/>
        <v>0</v>
      </c>
      <c r="R162" s="76">
        <f t="shared" si="155"/>
        <v>0</v>
      </c>
      <c r="S162" s="78">
        <v>0</v>
      </c>
      <c r="T162" s="68">
        <v>0</v>
      </c>
      <c r="U162" s="69">
        <v>0</v>
      </c>
    </row>
    <row r="163" spans="1:21" ht="15.5" x14ac:dyDescent="0.35">
      <c r="A163" s="64">
        <v>2022</v>
      </c>
      <c r="B163" s="64">
        <v>4</v>
      </c>
      <c r="C163" s="65">
        <v>44835</v>
      </c>
      <c r="D163" s="65">
        <v>44926</v>
      </c>
      <c r="E163" s="72">
        <f t="shared" si="161"/>
        <v>0</v>
      </c>
      <c r="F163" s="73">
        <v>0</v>
      </c>
      <c r="G163" s="73">
        <f>G162+E163</f>
        <v>0</v>
      </c>
      <c r="H163" s="73">
        <f>SUM(H162+F163)</f>
        <v>0</v>
      </c>
      <c r="I163" s="74" t="e">
        <f t="shared" si="159"/>
        <v>#DIV/0!</v>
      </c>
      <c r="J163" s="75">
        <f t="shared" si="162"/>
        <v>0</v>
      </c>
      <c r="K163" s="76">
        <v>0</v>
      </c>
      <c r="L163" s="76">
        <f>L162+J163</f>
        <v>0</v>
      </c>
      <c r="M163" s="76">
        <f>SUM(M162+K163)</f>
        <v>0</v>
      </c>
      <c r="N163" s="78" t="e">
        <f>M163/L163</f>
        <v>#DIV/0!</v>
      </c>
      <c r="O163" s="75">
        <v>0</v>
      </c>
      <c r="P163" s="76">
        <v>0</v>
      </c>
      <c r="Q163" s="76">
        <f t="shared" si="154"/>
        <v>0</v>
      </c>
      <c r="R163" s="76">
        <f t="shared" si="155"/>
        <v>0</v>
      </c>
      <c r="S163" s="78">
        <v>0</v>
      </c>
      <c r="T163" s="68">
        <v>0</v>
      </c>
      <c r="U163" s="69">
        <v>0</v>
      </c>
    </row>
    <row r="164" spans="1:21" ht="15.5" x14ac:dyDescent="0.35">
      <c r="A164" s="64">
        <v>2023</v>
      </c>
      <c r="B164" s="64">
        <v>1</v>
      </c>
      <c r="C164" s="65">
        <v>44927</v>
      </c>
      <c r="D164" s="65">
        <v>45016</v>
      </c>
      <c r="E164" s="72">
        <f t="shared" si="161"/>
        <v>0</v>
      </c>
      <c r="F164" s="73">
        <v>0</v>
      </c>
      <c r="G164" s="73">
        <f t="shared" ref="G164:G178" si="163">G163+E164</f>
        <v>0</v>
      </c>
      <c r="H164" s="73">
        <f t="shared" ref="H164:H177" si="164">SUM(H163+F164)</f>
        <v>0</v>
      </c>
      <c r="I164" s="74" t="e">
        <f t="shared" si="159"/>
        <v>#DIV/0!</v>
      </c>
      <c r="J164" s="75">
        <f t="shared" si="162"/>
        <v>0</v>
      </c>
      <c r="K164" s="76">
        <v>0</v>
      </c>
      <c r="L164" s="76">
        <f>L163+J164</f>
        <v>0</v>
      </c>
      <c r="M164" s="76">
        <f t="shared" ref="M164:M178" si="165">SUM(M163+K164)</f>
        <v>0</v>
      </c>
      <c r="N164" s="78" t="e">
        <f t="shared" ref="N164:N178" si="166">M164/L164</f>
        <v>#DIV/0!</v>
      </c>
      <c r="O164" s="75">
        <v>0</v>
      </c>
      <c r="P164" s="76">
        <v>0</v>
      </c>
      <c r="Q164" s="76">
        <f t="shared" si="154"/>
        <v>0</v>
      </c>
      <c r="R164" s="76">
        <f t="shared" si="155"/>
        <v>0</v>
      </c>
      <c r="S164" s="78">
        <v>0</v>
      </c>
      <c r="T164" s="68">
        <v>0</v>
      </c>
      <c r="U164" s="69">
        <v>0</v>
      </c>
    </row>
    <row r="165" spans="1:21" ht="15.5" x14ac:dyDescent="0.35">
      <c r="A165" s="64">
        <v>2023</v>
      </c>
      <c r="B165" s="64">
        <v>2</v>
      </c>
      <c r="C165" s="65">
        <v>45017</v>
      </c>
      <c r="D165" s="65">
        <v>45107</v>
      </c>
      <c r="E165" s="72">
        <f t="shared" si="161"/>
        <v>0</v>
      </c>
      <c r="F165" s="73">
        <v>0</v>
      </c>
      <c r="G165" s="73">
        <f t="shared" si="163"/>
        <v>0</v>
      </c>
      <c r="H165" s="73">
        <f t="shared" si="164"/>
        <v>0</v>
      </c>
      <c r="I165" s="74" t="e">
        <f t="shared" si="159"/>
        <v>#DIV/0!</v>
      </c>
      <c r="J165" s="75">
        <f t="shared" si="162"/>
        <v>0</v>
      </c>
      <c r="K165" s="76">
        <v>0</v>
      </c>
      <c r="L165" s="76">
        <f t="shared" ref="L165" si="167">L164+J165</f>
        <v>0</v>
      </c>
      <c r="M165" s="76">
        <f t="shared" si="165"/>
        <v>0</v>
      </c>
      <c r="N165" s="78" t="e">
        <f t="shared" si="166"/>
        <v>#DIV/0!</v>
      </c>
      <c r="O165" s="75">
        <v>0</v>
      </c>
      <c r="P165" s="76">
        <v>0</v>
      </c>
      <c r="Q165" s="76">
        <f t="shared" si="154"/>
        <v>0</v>
      </c>
      <c r="R165" s="76">
        <f t="shared" si="155"/>
        <v>0</v>
      </c>
      <c r="S165" s="78">
        <v>0</v>
      </c>
      <c r="T165" s="68">
        <v>0</v>
      </c>
      <c r="U165" s="69">
        <v>0</v>
      </c>
    </row>
    <row r="166" spans="1:21" ht="15.5" x14ac:dyDescent="0.35">
      <c r="A166" s="64">
        <v>2023</v>
      </c>
      <c r="B166" s="64">
        <v>3</v>
      </c>
      <c r="C166" s="65">
        <v>45108</v>
      </c>
      <c r="D166" s="65">
        <v>45199</v>
      </c>
      <c r="E166" s="72">
        <f t="shared" si="161"/>
        <v>0</v>
      </c>
      <c r="F166" s="73">
        <v>0</v>
      </c>
      <c r="G166" s="73">
        <f t="shared" si="163"/>
        <v>0</v>
      </c>
      <c r="H166" s="73">
        <f t="shared" si="164"/>
        <v>0</v>
      </c>
      <c r="I166" s="74" t="e">
        <f t="shared" si="159"/>
        <v>#DIV/0!</v>
      </c>
      <c r="J166" s="75">
        <f t="shared" si="162"/>
        <v>0</v>
      </c>
      <c r="K166" s="76">
        <v>0</v>
      </c>
      <c r="L166" s="76">
        <f>L165+J166</f>
        <v>0</v>
      </c>
      <c r="M166" s="76">
        <f t="shared" si="165"/>
        <v>0</v>
      </c>
      <c r="N166" s="78" t="e">
        <f t="shared" si="166"/>
        <v>#DIV/0!</v>
      </c>
      <c r="O166" s="75">
        <v>0</v>
      </c>
      <c r="P166" s="76">
        <v>0</v>
      </c>
      <c r="Q166" s="76">
        <f t="shared" si="154"/>
        <v>0</v>
      </c>
      <c r="R166" s="76">
        <f t="shared" si="155"/>
        <v>0</v>
      </c>
      <c r="S166" s="78">
        <v>0</v>
      </c>
      <c r="T166" s="68">
        <v>0</v>
      </c>
      <c r="U166" s="69">
        <v>0</v>
      </c>
    </row>
    <row r="167" spans="1:21" ht="15.5" x14ac:dyDescent="0.35">
      <c r="A167" s="64">
        <v>2023</v>
      </c>
      <c r="B167" s="64">
        <v>4</v>
      </c>
      <c r="C167" s="65">
        <v>45200</v>
      </c>
      <c r="D167" s="65">
        <v>45291</v>
      </c>
      <c r="E167" s="72">
        <f t="shared" si="161"/>
        <v>0</v>
      </c>
      <c r="F167" s="73"/>
      <c r="G167" s="73">
        <f t="shared" si="163"/>
        <v>0</v>
      </c>
      <c r="H167" s="73">
        <f t="shared" si="164"/>
        <v>0</v>
      </c>
      <c r="I167" s="74" t="e">
        <f t="shared" si="159"/>
        <v>#DIV/0!</v>
      </c>
      <c r="J167" s="75">
        <f t="shared" si="162"/>
        <v>0</v>
      </c>
      <c r="K167" s="76">
        <v>0</v>
      </c>
      <c r="L167" s="76">
        <f t="shared" ref="L167:L178" si="168">L166+J167</f>
        <v>0</v>
      </c>
      <c r="M167" s="76">
        <f t="shared" si="165"/>
        <v>0</v>
      </c>
      <c r="N167" s="78" t="e">
        <f t="shared" si="166"/>
        <v>#DIV/0!</v>
      </c>
      <c r="O167" s="75">
        <v>0</v>
      </c>
      <c r="P167" s="76">
        <v>0</v>
      </c>
      <c r="Q167" s="76">
        <v>0</v>
      </c>
      <c r="R167" s="76">
        <f t="shared" si="155"/>
        <v>0</v>
      </c>
      <c r="S167" s="78">
        <v>0</v>
      </c>
      <c r="T167" s="68">
        <v>0</v>
      </c>
      <c r="U167" s="69">
        <v>0</v>
      </c>
    </row>
    <row r="168" spans="1:21" ht="15.5" x14ac:dyDescent="0.35">
      <c r="A168" s="64">
        <v>2024</v>
      </c>
      <c r="B168" s="64">
        <v>1</v>
      </c>
      <c r="C168" s="65">
        <v>45292</v>
      </c>
      <c r="D168" s="65">
        <v>45382</v>
      </c>
      <c r="E168" s="72">
        <f t="shared" si="161"/>
        <v>0</v>
      </c>
      <c r="F168" s="73"/>
      <c r="G168" s="73">
        <f t="shared" si="163"/>
        <v>0</v>
      </c>
      <c r="H168" s="73">
        <f t="shared" si="164"/>
        <v>0</v>
      </c>
      <c r="I168" s="74" t="e">
        <f t="shared" si="159"/>
        <v>#DIV/0!</v>
      </c>
      <c r="J168" s="75">
        <f t="shared" si="162"/>
        <v>0</v>
      </c>
      <c r="K168" s="76">
        <v>0</v>
      </c>
      <c r="L168" s="76">
        <f t="shared" si="168"/>
        <v>0</v>
      </c>
      <c r="M168" s="76">
        <f t="shared" si="165"/>
        <v>0</v>
      </c>
      <c r="N168" s="78" t="e">
        <f t="shared" si="166"/>
        <v>#DIV/0!</v>
      </c>
      <c r="O168" s="75">
        <v>0</v>
      </c>
      <c r="P168" s="76"/>
      <c r="Q168" s="76">
        <f t="shared" si="154"/>
        <v>0</v>
      </c>
      <c r="R168" s="76">
        <f t="shared" si="155"/>
        <v>0</v>
      </c>
      <c r="S168" s="78" t="e">
        <f t="shared" ref="S168:S179" si="169">R168/Q168</f>
        <v>#DIV/0!</v>
      </c>
      <c r="T168" s="68">
        <v>0</v>
      </c>
      <c r="U168" s="69">
        <v>0</v>
      </c>
    </row>
    <row r="169" spans="1:21" ht="15.5" x14ac:dyDescent="0.35">
      <c r="A169" s="64">
        <v>2024</v>
      </c>
      <c r="B169" s="64">
        <v>2</v>
      </c>
      <c r="C169" s="65">
        <v>45383</v>
      </c>
      <c r="D169" s="65">
        <v>45473</v>
      </c>
      <c r="E169" s="72">
        <v>0</v>
      </c>
      <c r="F169" s="73"/>
      <c r="G169" s="73">
        <f t="shared" si="163"/>
        <v>0</v>
      </c>
      <c r="H169" s="73">
        <f t="shared" si="164"/>
        <v>0</v>
      </c>
      <c r="I169" s="74" t="e">
        <f t="shared" si="159"/>
        <v>#DIV/0!</v>
      </c>
      <c r="J169" s="75">
        <v>0</v>
      </c>
      <c r="K169" s="76"/>
      <c r="L169" s="76">
        <f t="shared" si="168"/>
        <v>0</v>
      </c>
      <c r="M169" s="76">
        <f t="shared" si="165"/>
        <v>0</v>
      </c>
      <c r="N169" s="78" t="e">
        <f t="shared" si="166"/>
        <v>#DIV/0!</v>
      </c>
      <c r="O169" s="75">
        <v>0</v>
      </c>
      <c r="P169" s="76"/>
      <c r="Q169" s="76">
        <f t="shared" si="154"/>
        <v>0</v>
      </c>
      <c r="R169" s="76">
        <f t="shared" si="155"/>
        <v>0</v>
      </c>
      <c r="S169" s="78" t="e">
        <f t="shared" si="169"/>
        <v>#DIV/0!</v>
      </c>
      <c r="T169" s="68"/>
      <c r="U169" s="69"/>
    </row>
    <row r="170" spans="1:21" ht="15.5" x14ac:dyDescent="0.35">
      <c r="A170" s="64">
        <v>2024</v>
      </c>
      <c r="B170" s="64">
        <v>3</v>
      </c>
      <c r="C170" s="65">
        <v>45474</v>
      </c>
      <c r="D170" s="65">
        <v>45565</v>
      </c>
      <c r="E170" s="72">
        <v>0</v>
      </c>
      <c r="F170" s="73"/>
      <c r="G170" s="73">
        <f t="shared" si="163"/>
        <v>0</v>
      </c>
      <c r="H170" s="73">
        <f t="shared" si="164"/>
        <v>0</v>
      </c>
      <c r="I170" s="128" t="e">
        <f t="shared" si="159"/>
        <v>#DIV/0!</v>
      </c>
      <c r="J170" s="75">
        <v>0</v>
      </c>
      <c r="K170" s="77"/>
      <c r="L170" s="77">
        <f t="shared" si="168"/>
        <v>0</v>
      </c>
      <c r="M170" s="77">
        <f t="shared" si="165"/>
        <v>0</v>
      </c>
      <c r="N170" s="78" t="e">
        <f t="shared" si="166"/>
        <v>#DIV/0!</v>
      </c>
      <c r="O170" s="75">
        <v>0</v>
      </c>
      <c r="P170" s="77"/>
      <c r="Q170" s="77">
        <f t="shared" si="154"/>
        <v>0</v>
      </c>
      <c r="R170" s="77">
        <f t="shared" si="155"/>
        <v>0</v>
      </c>
      <c r="S170" s="78" t="e">
        <f t="shared" si="169"/>
        <v>#DIV/0!</v>
      </c>
      <c r="T170" s="131"/>
      <c r="U170" s="130"/>
    </row>
    <row r="171" spans="1:21" ht="15.5" x14ac:dyDescent="0.35">
      <c r="A171" s="64">
        <v>2024</v>
      </c>
      <c r="B171" s="64">
        <v>4</v>
      </c>
      <c r="C171" s="65">
        <v>45566</v>
      </c>
      <c r="D171" s="65">
        <v>45657</v>
      </c>
      <c r="E171" s="72">
        <v>0</v>
      </c>
      <c r="F171" s="73"/>
      <c r="G171" s="73">
        <f t="shared" si="163"/>
        <v>0</v>
      </c>
      <c r="H171" s="73">
        <f t="shared" si="164"/>
        <v>0</v>
      </c>
      <c r="I171" s="128" t="e">
        <f t="shared" si="159"/>
        <v>#DIV/0!</v>
      </c>
      <c r="J171" s="75">
        <v>0</v>
      </c>
      <c r="K171" s="77"/>
      <c r="L171" s="77">
        <f t="shared" si="168"/>
        <v>0</v>
      </c>
      <c r="M171" s="77">
        <f t="shared" si="165"/>
        <v>0</v>
      </c>
      <c r="N171" s="78" t="e">
        <f t="shared" si="166"/>
        <v>#DIV/0!</v>
      </c>
      <c r="O171" s="75">
        <v>0</v>
      </c>
      <c r="P171" s="77"/>
      <c r="Q171" s="77">
        <f t="shared" si="154"/>
        <v>0</v>
      </c>
      <c r="R171" s="77">
        <f t="shared" si="155"/>
        <v>0</v>
      </c>
      <c r="S171" s="78" t="e">
        <f t="shared" si="169"/>
        <v>#DIV/0!</v>
      </c>
      <c r="T171" s="131"/>
      <c r="U171" s="130"/>
    </row>
    <row r="172" spans="1:21" ht="15.5" x14ac:dyDescent="0.35">
      <c r="A172" s="64">
        <v>2025</v>
      </c>
      <c r="B172" s="64">
        <v>1</v>
      </c>
      <c r="C172" s="65">
        <v>45658</v>
      </c>
      <c r="D172" s="65">
        <v>45747</v>
      </c>
      <c r="E172" s="72">
        <v>0</v>
      </c>
      <c r="F172" s="73"/>
      <c r="G172" s="73">
        <f t="shared" si="163"/>
        <v>0</v>
      </c>
      <c r="H172" s="73">
        <f t="shared" si="164"/>
        <v>0</v>
      </c>
      <c r="I172" s="128" t="e">
        <f t="shared" si="159"/>
        <v>#DIV/0!</v>
      </c>
      <c r="J172" s="75">
        <v>0</v>
      </c>
      <c r="K172" s="77"/>
      <c r="L172" s="77">
        <f t="shared" si="168"/>
        <v>0</v>
      </c>
      <c r="M172" s="77">
        <f t="shared" si="165"/>
        <v>0</v>
      </c>
      <c r="N172" s="78" t="e">
        <f t="shared" si="166"/>
        <v>#DIV/0!</v>
      </c>
      <c r="O172" s="75">
        <v>0</v>
      </c>
      <c r="P172" s="77"/>
      <c r="Q172" s="77">
        <f t="shared" si="154"/>
        <v>0</v>
      </c>
      <c r="R172" s="77">
        <f t="shared" si="155"/>
        <v>0</v>
      </c>
      <c r="S172" s="78" t="e">
        <f t="shared" si="169"/>
        <v>#DIV/0!</v>
      </c>
      <c r="T172" s="131"/>
      <c r="U172" s="130"/>
    </row>
    <row r="173" spans="1:21" ht="15.5" x14ac:dyDescent="0.35">
      <c r="A173" s="64">
        <v>2025</v>
      </c>
      <c r="B173" s="64">
        <v>2</v>
      </c>
      <c r="C173" s="65">
        <v>45748</v>
      </c>
      <c r="D173" s="65">
        <v>45838</v>
      </c>
      <c r="E173" s="72">
        <v>0</v>
      </c>
      <c r="F173" s="73"/>
      <c r="G173" s="73">
        <f t="shared" si="163"/>
        <v>0</v>
      </c>
      <c r="H173" s="73">
        <f t="shared" si="164"/>
        <v>0</v>
      </c>
      <c r="I173" s="128" t="e">
        <f t="shared" si="159"/>
        <v>#DIV/0!</v>
      </c>
      <c r="J173" s="75">
        <v>0</v>
      </c>
      <c r="K173" s="77"/>
      <c r="L173" s="77">
        <f t="shared" si="168"/>
        <v>0</v>
      </c>
      <c r="M173" s="77">
        <f t="shared" si="165"/>
        <v>0</v>
      </c>
      <c r="N173" s="78" t="e">
        <f t="shared" si="166"/>
        <v>#DIV/0!</v>
      </c>
      <c r="O173" s="75">
        <v>0</v>
      </c>
      <c r="P173" s="77"/>
      <c r="Q173" s="77">
        <f t="shared" si="154"/>
        <v>0</v>
      </c>
      <c r="R173" s="77">
        <f t="shared" si="155"/>
        <v>0</v>
      </c>
      <c r="S173" s="78" t="e">
        <f t="shared" si="169"/>
        <v>#DIV/0!</v>
      </c>
      <c r="T173" s="131"/>
      <c r="U173" s="130"/>
    </row>
    <row r="174" spans="1:21" ht="15.5" x14ac:dyDescent="0.35">
      <c r="A174" s="64">
        <v>2025</v>
      </c>
      <c r="B174" s="64">
        <v>3</v>
      </c>
      <c r="C174" s="65">
        <v>45839</v>
      </c>
      <c r="D174" s="65">
        <v>45930</v>
      </c>
      <c r="E174" s="72">
        <v>0</v>
      </c>
      <c r="F174" s="73"/>
      <c r="G174" s="73">
        <f t="shared" si="163"/>
        <v>0</v>
      </c>
      <c r="H174" s="73">
        <f t="shared" si="164"/>
        <v>0</v>
      </c>
      <c r="I174" s="128" t="e">
        <f t="shared" si="159"/>
        <v>#DIV/0!</v>
      </c>
      <c r="J174" s="75">
        <v>0</v>
      </c>
      <c r="K174" s="77"/>
      <c r="L174" s="77">
        <f t="shared" si="168"/>
        <v>0</v>
      </c>
      <c r="M174" s="77">
        <f t="shared" si="165"/>
        <v>0</v>
      </c>
      <c r="N174" s="78" t="e">
        <f t="shared" si="166"/>
        <v>#DIV/0!</v>
      </c>
      <c r="O174" s="75">
        <v>0</v>
      </c>
      <c r="P174" s="77"/>
      <c r="Q174" s="77">
        <f t="shared" si="154"/>
        <v>0</v>
      </c>
      <c r="R174" s="77">
        <f t="shared" si="155"/>
        <v>0</v>
      </c>
      <c r="S174" s="78" t="e">
        <f t="shared" si="169"/>
        <v>#DIV/0!</v>
      </c>
      <c r="T174" s="131"/>
      <c r="U174" s="130"/>
    </row>
    <row r="175" spans="1:21" ht="15.5" x14ac:dyDescent="0.35">
      <c r="A175" s="64">
        <v>2025</v>
      </c>
      <c r="B175" s="64">
        <v>4</v>
      </c>
      <c r="C175" s="65">
        <v>45931</v>
      </c>
      <c r="D175" s="65">
        <v>46022</v>
      </c>
      <c r="E175" s="72">
        <v>0</v>
      </c>
      <c r="F175" s="73"/>
      <c r="G175" s="73">
        <f t="shared" si="163"/>
        <v>0</v>
      </c>
      <c r="H175" s="73">
        <f t="shared" si="164"/>
        <v>0</v>
      </c>
      <c r="I175" s="128" t="e">
        <f t="shared" si="159"/>
        <v>#DIV/0!</v>
      </c>
      <c r="J175" s="75">
        <v>0</v>
      </c>
      <c r="K175" s="77"/>
      <c r="L175" s="77">
        <f t="shared" si="168"/>
        <v>0</v>
      </c>
      <c r="M175" s="77">
        <f t="shared" si="165"/>
        <v>0</v>
      </c>
      <c r="N175" s="78" t="e">
        <f t="shared" si="166"/>
        <v>#DIV/0!</v>
      </c>
      <c r="O175" s="75">
        <v>0</v>
      </c>
      <c r="P175" s="77"/>
      <c r="Q175" s="77">
        <f t="shared" si="154"/>
        <v>0</v>
      </c>
      <c r="R175" s="77">
        <f t="shared" si="155"/>
        <v>0</v>
      </c>
      <c r="S175" s="78" t="e">
        <f t="shared" si="169"/>
        <v>#DIV/0!</v>
      </c>
      <c r="T175" s="131"/>
      <c r="U175" s="130"/>
    </row>
    <row r="176" spans="1:21" ht="15.5" x14ac:dyDescent="0.35">
      <c r="A176" s="64">
        <v>2026</v>
      </c>
      <c r="B176" s="64">
        <v>1</v>
      </c>
      <c r="C176" s="65">
        <v>46023</v>
      </c>
      <c r="D176" s="65">
        <v>46112</v>
      </c>
      <c r="E176" s="72">
        <v>0</v>
      </c>
      <c r="F176" s="73"/>
      <c r="G176" s="73">
        <f t="shared" si="163"/>
        <v>0</v>
      </c>
      <c r="H176" s="73">
        <f t="shared" si="164"/>
        <v>0</v>
      </c>
      <c r="I176" s="128" t="e">
        <f>H176/G176</f>
        <v>#DIV/0!</v>
      </c>
      <c r="J176" s="75">
        <v>0</v>
      </c>
      <c r="K176" s="77"/>
      <c r="L176" s="77">
        <f t="shared" si="168"/>
        <v>0</v>
      </c>
      <c r="M176" s="77">
        <f t="shared" si="165"/>
        <v>0</v>
      </c>
      <c r="N176" s="78" t="e">
        <f t="shared" si="166"/>
        <v>#DIV/0!</v>
      </c>
      <c r="O176" s="75">
        <v>0</v>
      </c>
      <c r="P176" s="77"/>
      <c r="Q176" s="77">
        <f t="shared" si="154"/>
        <v>0</v>
      </c>
      <c r="R176" s="77">
        <f t="shared" si="155"/>
        <v>0</v>
      </c>
      <c r="S176" s="78" t="e">
        <f t="shared" si="169"/>
        <v>#DIV/0!</v>
      </c>
      <c r="T176" s="131"/>
      <c r="U176" s="130"/>
    </row>
    <row r="177" spans="1:31" ht="15.5" x14ac:dyDescent="0.35">
      <c r="A177" s="64">
        <v>2026</v>
      </c>
      <c r="B177" s="64">
        <v>2</v>
      </c>
      <c r="C177" s="65">
        <v>46113</v>
      </c>
      <c r="D177" s="65">
        <v>46203</v>
      </c>
      <c r="E177" s="72">
        <v>0</v>
      </c>
      <c r="F177" s="73"/>
      <c r="G177" s="73">
        <f t="shared" si="163"/>
        <v>0</v>
      </c>
      <c r="H177" s="73">
        <f t="shared" si="164"/>
        <v>0</v>
      </c>
      <c r="I177" s="128" t="e">
        <f t="shared" ref="I177:I178" si="170">H177/G177</f>
        <v>#DIV/0!</v>
      </c>
      <c r="J177" s="75">
        <v>0</v>
      </c>
      <c r="K177" s="77"/>
      <c r="L177" s="77">
        <f t="shared" si="168"/>
        <v>0</v>
      </c>
      <c r="M177" s="77">
        <f t="shared" si="165"/>
        <v>0</v>
      </c>
      <c r="N177" s="78" t="e">
        <f t="shared" si="166"/>
        <v>#DIV/0!</v>
      </c>
      <c r="O177" s="75">
        <v>0</v>
      </c>
      <c r="P177" s="77"/>
      <c r="Q177" s="77">
        <f t="shared" si="154"/>
        <v>0</v>
      </c>
      <c r="R177" s="77">
        <f t="shared" si="155"/>
        <v>0</v>
      </c>
      <c r="S177" s="78" t="e">
        <f t="shared" si="169"/>
        <v>#DIV/0!</v>
      </c>
      <c r="T177" s="131"/>
      <c r="U177" s="130"/>
    </row>
    <row r="178" spans="1:31" ht="15.5" x14ac:dyDescent="0.35">
      <c r="A178" s="64">
        <v>2026</v>
      </c>
      <c r="B178" s="64">
        <v>3</v>
      </c>
      <c r="C178" s="65">
        <v>46204</v>
      </c>
      <c r="D178" s="65">
        <v>46295</v>
      </c>
      <c r="E178" s="72">
        <v>0</v>
      </c>
      <c r="F178" s="73"/>
      <c r="G178" s="73">
        <f t="shared" si="163"/>
        <v>0</v>
      </c>
      <c r="H178" s="73">
        <f>SUM(H177+F178)</f>
        <v>0</v>
      </c>
      <c r="I178" s="128" t="e">
        <f t="shared" si="170"/>
        <v>#DIV/0!</v>
      </c>
      <c r="J178" s="75">
        <v>0</v>
      </c>
      <c r="K178" s="132"/>
      <c r="L178" s="132">
        <f t="shared" si="168"/>
        <v>0</v>
      </c>
      <c r="M178" s="132">
        <f t="shared" si="165"/>
        <v>0</v>
      </c>
      <c r="N178" s="78" t="e">
        <f t="shared" si="166"/>
        <v>#DIV/0!</v>
      </c>
      <c r="O178" s="75">
        <v>0</v>
      </c>
      <c r="P178" s="132"/>
      <c r="Q178" s="132">
        <f t="shared" si="154"/>
        <v>0</v>
      </c>
      <c r="R178" s="132">
        <f t="shared" si="155"/>
        <v>0</v>
      </c>
      <c r="S178" s="78" t="e">
        <f t="shared" si="169"/>
        <v>#DIV/0!</v>
      </c>
      <c r="T178" s="131"/>
      <c r="U178" s="130"/>
    </row>
    <row r="179" spans="1:31" ht="15" thickBot="1" x14ac:dyDescent="0.4">
      <c r="A179" s="133" t="s">
        <v>12</v>
      </c>
      <c r="B179" s="133"/>
      <c r="C179" s="133"/>
      <c r="D179" s="134"/>
      <c r="E179" s="135">
        <v>0</v>
      </c>
      <c r="F179" s="136">
        <f>SUM(F155:F178)</f>
        <v>0</v>
      </c>
      <c r="G179" s="136">
        <f>G178</f>
        <v>0</v>
      </c>
      <c r="H179" s="137">
        <f>H178</f>
        <v>0</v>
      </c>
      <c r="I179" s="189" t="e">
        <f>H179/G179</f>
        <v>#DIV/0!</v>
      </c>
      <c r="J179" s="138">
        <v>0</v>
      </c>
      <c r="K179" s="139">
        <f>SUM(K155:K178)</f>
        <v>0</v>
      </c>
      <c r="L179" s="140">
        <f>L178</f>
        <v>0</v>
      </c>
      <c r="M179" s="141">
        <f>M178</f>
        <v>0</v>
      </c>
      <c r="N179" s="142" t="e">
        <f>M179/L179</f>
        <v>#DIV/0!</v>
      </c>
      <c r="O179" s="138">
        <v>0</v>
      </c>
      <c r="P179" s="139">
        <f>SUM(P155:P178)</f>
        <v>0</v>
      </c>
      <c r="Q179" s="140">
        <f>Q178</f>
        <v>0</v>
      </c>
      <c r="R179" s="141">
        <f>R178</f>
        <v>0</v>
      </c>
      <c r="S179" s="142" t="e">
        <f t="shared" si="169"/>
        <v>#DIV/0!</v>
      </c>
      <c r="T179" s="143">
        <f>SUM(T155:T178)</f>
        <v>0</v>
      </c>
      <c r="U179" s="143">
        <f>SUM(U155:U178)</f>
        <v>0</v>
      </c>
    </row>
    <row r="180" spans="1:31" ht="15" thickTop="1" x14ac:dyDescent="0.35">
      <c r="E180" s="33">
        <f>E179+J179+O179</f>
        <v>0</v>
      </c>
    </row>
    <row r="182" spans="1:31" x14ac:dyDescent="0.35">
      <c r="A182" s="198" t="s">
        <v>68</v>
      </c>
      <c r="B182" s="198"/>
      <c r="C182" s="198"/>
      <c r="D182" s="198"/>
      <c r="E182" s="198"/>
      <c r="F182" s="198"/>
      <c r="G182" s="198"/>
      <c r="H182" s="198"/>
      <c r="I182" s="198"/>
      <c r="J182" s="198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22"/>
      <c r="W182" s="122"/>
      <c r="X182" s="122"/>
      <c r="Y182" s="122"/>
      <c r="Z182" s="122"/>
      <c r="AA182" s="122"/>
    </row>
    <row r="183" spans="1:31" ht="15" thickBot="1" x14ac:dyDescent="0.4">
      <c r="A183" s="202" t="s">
        <v>0</v>
      </c>
      <c r="B183" s="204"/>
      <c r="C183" s="204"/>
      <c r="D183" s="204"/>
      <c r="E183" s="193" t="s">
        <v>18</v>
      </c>
      <c r="F183" s="193"/>
      <c r="G183" s="193"/>
      <c r="H183" s="193"/>
      <c r="I183" s="194"/>
      <c r="J183" s="195" t="s">
        <v>17</v>
      </c>
      <c r="K183" s="196"/>
      <c r="L183" s="196"/>
      <c r="M183" s="196"/>
      <c r="N183" s="197"/>
      <c r="O183" s="205" t="s">
        <v>56</v>
      </c>
      <c r="P183" s="205"/>
      <c r="Q183" s="205"/>
      <c r="R183" s="205"/>
      <c r="S183" s="205"/>
      <c r="T183" s="12"/>
      <c r="U183" s="6"/>
    </row>
    <row r="184" spans="1:31" ht="44" thickTop="1" x14ac:dyDescent="0.35">
      <c r="A184" s="7" t="s">
        <v>1</v>
      </c>
      <c r="B184" s="7" t="s">
        <v>2</v>
      </c>
      <c r="C184" s="7" t="s">
        <v>3</v>
      </c>
      <c r="D184" s="9" t="s">
        <v>9</v>
      </c>
      <c r="E184" s="19" t="s">
        <v>4</v>
      </c>
      <c r="F184" s="20" t="s">
        <v>6</v>
      </c>
      <c r="G184" s="20" t="s">
        <v>5</v>
      </c>
      <c r="H184" s="20" t="s">
        <v>7</v>
      </c>
      <c r="I184" s="23" t="s">
        <v>8</v>
      </c>
      <c r="J184" s="25" t="s">
        <v>4</v>
      </c>
      <c r="K184" s="26" t="s">
        <v>6</v>
      </c>
      <c r="L184" s="26" t="s">
        <v>5</v>
      </c>
      <c r="M184" s="26" t="s">
        <v>7</v>
      </c>
      <c r="N184" s="27" t="s">
        <v>8</v>
      </c>
      <c r="O184" s="84" t="s">
        <v>4</v>
      </c>
      <c r="P184" s="85" t="s">
        <v>6</v>
      </c>
      <c r="Q184" s="85" t="s">
        <v>5</v>
      </c>
      <c r="R184" s="85" t="s">
        <v>7</v>
      </c>
      <c r="S184" s="86" t="s">
        <v>8</v>
      </c>
      <c r="T184" s="13" t="s">
        <v>10</v>
      </c>
      <c r="U184" s="8" t="s">
        <v>11</v>
      </c>
    </row>
    <row r="185" spans="1:31" ht="15.5" x14ac:dyDescent="0.35">
      <c r="A185" s="64">
        <v>2020</v>
      </c>
      <c r="B185" s="64">
        <v>4</v>
      </c>
      <c r="C185" s="65">
        <v>44105</v>
      </c>
      <c r="D185" s="65">
        <v>44196</v>
      </c>
      <c r="E185" s="66">
        <v>0</v>
      </c>
      <c r="F185" s="66">
        <v>0</v>
      </c>
      <c r="G185" s="66">
        <v>0</v>
      </c>
      <c r="H185" s="66">
        <v>0</v>
      </c>
      <c r="I185" s="67">
        <v>0</v>
      </c>
      <c r="J185" s="66">
        <v>0</v>
      </c>
      <c r="K185" s="66">
        <v>0</v>
      </c>
      <c r="L185" s="66">
        <v>0</v>
      </c>
      <c r="M185" s="66">
        <v>0</v>
      </c>
      <c r="N185" s="67">
        <v>0</v>
      </c>
      <c r="O185" s="66">
        <v>0</v>
      </c>
      <c r="P185" s="66">
        <v>0</v>
      </c>
      <c r="Q185" s="66">
        <v>0</v>
      </c>
      <c r="R185" s="66">
        <v>0</v>
      </c>
      <c r="S185" s="67">
        <v>0</v>
      </c>
      <c r="T185" s="68">
        <v>0</v>
      </c>
      <c r="U185" s="69">
        <v>0</v>
      </c>
    </row>
    <row r="186" spans="1:31" ht="15.5" x14ac:dyDescent="0.35">
      <c r="A186" s="64">
        <v>2021</v>
      </c>
      <c r="B186" s="64">
        <v>1</v>
      </c>
      <c r="C186" s="65">
        <v>44197</v>
      </c>
      <c r="D186" s="65">
        <v>44286</v>
      </c>
      <c r="E186" s="66">
        <v>0</v>
      </c>
      <c r="F186" s="66">
        <v>0</v>
      </c>
      <c r="G186" s="66">
        <v>0</v>
      </c>
      <c r="H186" s="66">
        <v>0</v>
      </c>
      <c r="I186" s="67">
        <v>0</v>
      </c>
      <c r="J186" s="66">
        <v>0</v>
      </c>
      <c r="K186" s="66">
        <v>0</v>
      </c>
      <c r="L186" s="66">
        <v>0</v>
      </c>
      <c r="M186" s="66">
        <v>0</v>
      </c>
      <c r="N186" s="67">
        <v>0</v>
      </c>
      <c r="O186" s="66">
        <v>0</v>
      </c>
      <c r="P186" s="66">
        <v>0</v>
      </c>
      <c r="Q186" s="66">
        <v>0</v>
      </c>
      <c r="R186" s="66">
        <v>0</v>
      </c>
      <c r="S186" s="67">
        <v>0</v>
      </c>
      <c r="T186" s="68">
        <v>0</v>
      </c>
      <c r="U186" s="69">
        <v>0</v>
      </c>
    </row>
    <row r="187" spans="1:31" s="108" customFormat="1" ht="15.5" x14ac:dyDescent="0.35">
      <c r="A187" s="89">
        <v>2021</v>
      </c>
      <c r="B187" s="89">
        <v>2</v>
      </c>
      <c r="C187" s="90">
        <v>44287</v>
      </c>
      <c r="D187" s="90">
        <v>44377</v>
      </c>
      <c r="E187" s="100">
        <v>0</v>
      </c>
      <c r="F187" s="92">
        <v>0</v>
      </c>
      <c r="G187" s="92">
        <f>E187</f>
        <v>0</v>
      </c>
      <c r="H187" s="92">
        <f>SUM(F187+0)</f>
        <v>0</v>
      </c>
      <c r="I187" s="101">
        <v>0</v>
      </c>
      <c r="J187" s="102">
        <v>0</v>
      </c>
      <c r="K187" s="103">
        <v>0</v>
      </c>
      <c r="L187" s="104">
        <f>J187</f>
        <v>0</v>
      </c>
      <c r="M187" s="103">
        <f>SUM(K187+0)</f>
        <v>0</v>
      </c>
      <c r="N187" s="105">
        <v>0</v>
      </c>
      <c r="O187" s="102">
        <v>0</v>
      </c>
      <c r="P187" s="103">
        <v>0</v>
      </c>
      <c r="Q187" s="104">
        <f>O187</f>
        <v>0</v>
      </c>
      <c r="R187" s="103">
        <f>SUM(P187+0)</f>
        <v>0</v>
      </c>
      <c r="S187" s="105">
        <v>0</v>
      </c>
      <c r="T187" s="106">
        <v>0</v>
      </c>
      <c r="U187" s="107">
        <v>0</v>
      </c>
      <c r="V187"/>
      <c r="W187"/>
      <c r="X187"/>
      <c r="Y187"/>
      <c r="Z187"/>
      <c r="AA187"/>
      <c r="AB187"/>
      <c r="AC187"/>
      <c r="AD187"/>
      <c r="AE187"/>
    </row>
    <row r="188" spans="1:31" ht="15.5" x14ac:dyDescent="0.35">
      <c r="A188" s="64">
        <v>2021</v>
      </c>
      <c r="B188" s="64">
        <v>3</v>
      </c>
      <c r="C188" s="65">
        <v>44378</v>
      </c>
      <c r="D188" s="65">
        <v>44469</v>
      </c>
      <c r="E188" s="72">
        <v>0</v>
      </c>
      <c r="F188" s="73"/>
      <c r="G188" s="73">
        <f t="shared" ref="G188" si="171">G187+E188</f>
        <v>0</v>
      </c>
      <c r="H188" s="73">
        <f t="shared" ref="H188:H192" si="172">SUM(H187+F188)</f>
        <v>0</v>
      </c>
      <c r="I188" s="74">
        <v>0</v>
      </c>
      <c r="J188" s="75">
        <v>0</v>
      </c>
      <c r="K188" s="76"/>
      <c r="L188" s="76">
        <f>L187+J188</f>
        <v>0</v>
      </c>
      <c r="M188" s="76">
        <f>SUM(M187+K188)</f>
        <v>0</v>
      </c>
      <c r="N188" s="78">
        <v>0</v>
      </c>
      <c r="O188" s="75">
        <v>0</v>
      </c>
      <c r="P188" s="76"/>
      <c r="Q188" s="76">
        <f t="shared" ref="Q188:Q208" si="173">Q187+O188</f>
        <v>0</v>
      </c>
      <c r="R188" s="76">
        <f t="shared" ref="R188:R208" si="174">SUM(R187+P188)</f>
        <v>0</v>
      </c>
      <c r="S188" s="78">
        <v>0</v>
      </c>
      <c r="T188" s="68">
        <v>0</v>
      </c>
      <c r="U188" s="69">
        <v>0</v>
      </c>
    </row>
    <row r="189" spans="1:31" ht="15.5" x14ac:dyDescent="0.35">
      <c r="A189" s="64">
        <v>2022</v>
      </c>
      <c r="B189" s="64">
        <v>4</v>
      </c>
      <c r="C189" s="65">
        <v>44470</v>
      </c>
      <c r="D189" s="65">
        <v>44561</v>
      </c>
      <c r="E189" s="72">
        <v>0</v>
      </c>
      <c r="F189" s="73">
        <v>0</v>
      </c>
      <c r="G189" s="73">
        <v>0</v>
      </c>
      <c r="H189" s="73">
        <f t="shared" si="172"/>
        <v>0</v>
      </c>
      <c r="I189" s="74">
        <v>0</v>
      </c>
      <c r="J189" s="75">
        <v>0</v>
      </c>
      <c r="K189" s="76">
        <v>0</v>
      </c>
      <c r="L189" s="76">
        <f t="shared" ref="L189:L192" si="175">L188+J189</f>
        <v>0</v>
      </c>
      <c r="M189" s="76">
        <f t="shared" ref="M189:M191" si="176">SUM(M188+K189)</f>
        <v>0</v>
      </c>
      <c r="N189" s="78">
        <v>0</v>
      </c>
      <c r="O189" s="75">
        <v>0</v>
      </c>
      <c r="P189" s="76">
        <v>0</v>
      </c>
      <c r="Q189" s="76">
        <f t="shared" si="173"/>
        <v>0</v>
      </c>
      <c r="R189" s="76">
        <f t="shared" si="174"/>
        <v>0</v>
      </c>
      <c r="S189" s="78">
        <v>0</v>
      </c>
      <c r="T189" s="68">
        <v>0</v>
      </c>
      <c r="U189" s="69">
        <v>0</v>
      </c>
    </row>
    <row r="190" spans="1:31" ht="15.5" x14ac:dyDescent="0.35">
      <c r="A190" s="64">
        <v>2022</v>
      </c>
      <c r="B190" s="64">
        <v>1</v>
      </c>
      <c r="C190" s="65">
        <v>44562</v>
      </c>
      <c r="D190" s="65">
        <v>44651</v>
      </c>
      <c r="E190" s="72">
        <v>0</v>
      </c>
      <c r="F190" s="73">
        <v>0</v>
      </c>
      <c r="G190" s="73">
        <f>G189+E190</f>
        <v>0</v>
      </c>
      <c r="H190" s="73">
        <f t="shared" si="172"/>
        <v>0</v>
      </c>
      <c r="I190" s="74">
        <v>0</v>
      </c>
      <c r="J190" s="75">
        <v>0</v>
      </c>
      <c r="K190" s="76">
        <v>0</v>
      </c>
      <c r="L190" s="76">
        <f t="shared" si="175"/>
        <v>0</v>
      </c>
      <c r="M190" s="76">
        <f t="shared" si="176"/>
        <v>0</v>
      </c>
      <c r="N190" s="78">
        <v>0</v>
      </c>
      <c r="O190" s="75">
        <v>0</v>
      </c>
      <c r="P190" s="76">
        <v>0</v>
      </c>
      <c r="Q190" s="76">
        <f t="shared" si="173"/>
        <v>0</v>
      </c>
      <c r="R190" s="76">
        <f t="shared" si="174"/>
        <v>0</v>
      </c>
      <c r="S190" s="78">
        <v>0</v>
      </c>
      <c r="T190" s="68">
        <v>0</v>
      </c>
      <c r="U190" s="69">
        <v>0</v>
      </c>
    </row>
    <row r="191" spans="1:31" ht="15.5" x14ac:dyDescent="0.35">
      <c r="A191" s="64">
        <v>2022</v>
      </c>
      <c r="B191" s="64">
        <v>2</v>
      </c>
      <c r="C191" s="65">
        <v>44652</v>
      </c>
      <c r="D191" s="65">
        <v>44742</v>
      </c>
      <c r="E191" s="72">
        <f>$E$209/10</f>
        <v>42180</v>
      </c>
      <c r="F191" s="73">
        <v>0</v>
      </c>
      <c r="G191" s="73">
        <f t="shared" ref="G191:G192" si="177">G190+E191</f>
        <v>42180</v>
      </c>
      <c r="H191" s="73">
        <f t="shared" si="172"/>
        <v>0</v>
      </c>
      <c r="I191" s="74">
        <f t="shared" ref="I191:I205" si="178">H191/G191</f>
        <v>0</v>
      </c>
      <c r="J191" s="75">
        <f>$J$209/10</f>
        <v>2400</v>
      </c>
      <c r="K191" s="76"/>
      <c r="L191" s="76">
        <f t="shared" si="175"/>
        <v>2400</v>
      </c>
      <c r="M191" s="76">
        <f t="shared" si="176"/>
        <v>0</v>
      </c>
      <c r="N191" s="78">
        <f t="shared" ref="N191:N192" si="179">M191/L191</f>
        <v>0</v>
      </c>
      <c r="O191" s="75">
        <v>0</v>
      </c>
      <c r="P191" s="76">
        <v>0</v>
      </c>
      <c r="Q191" s="76">
        <f t="shared" si="173"/>
        <v>0</v>
      </c>
      <c r="R191" s="76">
        <f t="shared" si="174"/>
        <v>0</v>
      </c>
      <c r="S191" s="78">
        <v>0</v>
      </c>
      <c r="T191" s="68">
        <v>0</v>
      </c>
      <c r="U191" s="69">
        <v>0</v>
      </c>
    </row>
    <row r="192" spans="1:31" ht="15.5" x14ac:dyDescent="0.35">
      <c r="A192" s="64">
        <v>2022</v>
      </c>
      <c r="B192" s="64">
        <v>3</v>
      </c>
      <c r="C192" s="65">
        <v>44743</v>
      </c>
      <c r="D192" s="65">
        <v>44834</v>
      </c>
      <c r="E192" s="72">
        <f t="shared" ref="E192:E200" si="180">$E$209/10</f>
        <v>42180</v>
      </c>
      <c r="F192" s="73">
        <v>0</v>
      </c>
      <c r="G192" s="73">
        <f t="shared" si="177"/>
        <v>84360</v>
      </c>
      <c r="H192" s="73">
        <f t="shared" si="172"/>
        <v>0</v>
      </c>
      <c r="I192" s="74">
        <f t="shared" si="178"/>
        <v>0</v>
      </c>
      <c r="J192" s="75">
        <f t="shared" ref="J192:J200" si="181">$J$209/10</f>
        <v>2400</v>
      </c>
      <c r="K192" s="76"/>
      <c r="L192" s="76">
        <f t="shared" si="175"/>
        <v>4800</v>
      </c>
      <c r="M192" s="76">
        <f>SUM(M191+K192)</f>
        <v>0</v>
      </c>
      <c r="N192" s="78">
        <f t="shared" si="179"/>
        <v>0</v>
      </c>
      <c r="O192" s="75">
        <v>0</v>
      </c>
      <c r="P192" s="76">
        <v>0</v>
      </c>
      <c r="Q192" s="76">
        <f t="shared" si="173"/>
        <v>0</v>
      </c>
      <c r="R192" s="76">
        <f t="shared" si="174"/>
        <v>0</v>
      </c>
      <c r="S192" s="78">
        <v>0</v>
      </c>
      <c r="T192" s="68">
        <v>0</v>
      </c>
      <c r="U192" s="69">
        <v>0</v>
      </c>
    </row>
    <row r="193" spans="1:21" ht="15.5" x14ac:dyDescent="0.35">
      <c r="A193" s="64">
        <v>2022</v>
      </c>
      <c r="B193" s="64">
        <v>4</v>
      </c>
      <c r="C193" s="65">
        <v>44835</v>
      </c>
      <c r="D193" s="65">
        <v>44926</v>
      </c>
      <c r="E193" s="72">
        <f t="shared" si="180"/>
        <v>42180</v>
      </c>
      <c r="F193" s="73">
        <v>0</v>
      </c>
      <c r="G193" s="73">
        <f>G192+E193</f>
        <v>126540</v>
      </c>
      <c r="H193" s="73">
        <f>SUM(H192+F193)</f>
        <v>0</v>
      </c>
      <c r="I193" s="74">
        <f t="shared" si="178"/>
        <v>0</v>
      </c>
      <c r="J193" s="75">
        <f t="shared" si="181"/>
        <v>2400</v>
      </c>
      <c r="K193" s="76">
        <v>3977</v>
      </c>
      <c r="L193" s="76">
        <f>L192+J193</f>
        <v>7200</v>
      </c>
      <c r="M193" s="76">
        <f>SUM(M192+K193)</f>
        <v>3977</v>
      </c>
      <c r="N193" s="78">
        <f>M193/L193</f>
        <v>0.55236111111111108</v>
      </c>
      <c r="O193" s="75">
        <v>0</v>
      </c>
      <c r="P193" s="76">
        <v>0</v>
      </c>
      <c r="Q193" s="76">
        <f t="shared" si="173"/>
        <v>0</v>
      </c>
      <c r="R193" s="76">
        <f t="shared" si="174"/>
        <v>0</v>
      </c>
      <c r="S193" s="78">
        <v>0</v>
      </c>
      <c r="T193" s="68">
        <v>0</v>
      </c>
      <c r="U193" s="69">
        <v>0</v>
      </c>
    </row>
    <row r="194" spans="1:21" ht="15.5" x14ac:dyDescent="0.35">
      <c r="A194" s="64">
        <v>2023</v>
      </c>
      <c r="B194" s="64">
        <v>1</v>
      </c>
      <c r="C194" s="65">
        <v>44927</v>
      </c>
      <c r="D194" s="65">
        <v>45016</v>
      </c>
      <c r="E194" s="72">
        <f t="shared" si="180"/>
        <v>42180</v>
      </c>
      <c r="F194" s="73">
        <v>0</v>
      </c>
      <c r="G194" s="73">
        <f t="shared" ref="G194:G208" si="182">G193+E194</f>
        <v>168720</v>
      </c>
      <c r="H194" s="73">
        <f t="shared" ref="H194:H207" si="183">SUM(H193+F194)</f>
        <v>0</v>
      </c>
      <c r="I194" s="74">
        <f t="shared" si="178"/>
        <v>0</v>
      </c>
      <c r="J194" s="75">
        <f t="shared" si="181"/>
        <v>2400</v>
      </c>
      <c r="K194" s="76">
        <v>0</v>
      </c>
      <c r="L194" s="76">
        <f>L193+J194</f>
        <v>9600</v>
      </c>
      <c r="M194" s="76">
        <f t="shared" ref="M194:M208" si="184">SUM(M193+K194)</f>
        <v>3977</v>
      </c>
      <c r="N194" s="78">
        <f t="shared" ref="N194:N208" si="185">M194/L194</f>
        <v>0.41427083333333331</v>
      </c>
      <c r="O194" s="75">
        <v>0</v>
      </c>
      <c r="P194" s="76">
        <v>0</v>
      </c>
      <c r="Q194" s="76">
        <f t="shared" si="173"/>
        <v>0</v>
      </c>
      <c r="R194" s="76">
        <f t="shared" si="174"/>
        <v>0</v>
      </c>
      <c r="S194" s="78">
        <v>0</v>
      </c>
      <c r="T194" s="68">
        <v>0</v>
      </c>
      <c r="U194" s="69">
        <v>0</v>
      </c>
    </row>
    <row r="195" spans="1:21" ht="15.5" x14ac:dyDescent="0.35">
      <c r="A195" s="64">
        <v>2023</v>
      </c>
      <c r="B195" s="64">
        <v>2</v>
      </c>
      <c r="C195" s="65">
        <v>45017</v>
      </c>
      <c r="D195" s="65">
        <v>45107</v>
      </c>
      <c r="E195" s="72">
        <f t="shared" si="180"/>
        <v>42180</v>
      </c>
      <c r="F195" s="73">
        <v>0</v>
      </c>
      <c r="G195" s="73">
        <f t="shared" si="182"/>
        <v>210900</v>
      </c>
      <c r="H195" s="73">
        <f t="shared" si="183"/>
        <v>0</v>
      </c>
      <c r="I195" s="74">
        <f t="shared" si="178"/>
        <v>0</v>
      </c>
      <c r="J195" s="75">
        <f t="shared" si="181"/>
        <v>2400</v>
      </c>
      <c r="K195" s="76">
        <v>4808.7</v>
      </c>
      <c r="L195" s="76">
        <f t="shared" ref="L195" si="186">L194+J195</f>
        <v>12000</v>
      </c>
      <c r="M195" s="76">
        <f t="shared" si="184"/>
        <v>8785.7000000000007</v>
      </c>
      <c r="N195" s="78">
        <f t="shared" si="185"/>
        <v>0.73214166666666669</v>
      </c>
      <c r="O195" s="75">
        <v>0</v>
      </c>
      <c r="P195" s="76">
        <v>0</v>
      </c>
      <c r="Q195" s="76">
        <f t="shared" si="173"/>
        <v>0</v>
      </c>
      <c r="R195" s="76">
        <f t="shared" si="174"/>
        <v>0</v>
      </c>
      <c r="S195" s="78">
        <v>0</v>
      </c>
      <c r="T195" s="68">
        <v>0</v>
      </c>
      <c r="U195" s="69">
        <v>0</v>
      </c>
    </row>
    <row r="196" spans="1:21" ht="15.5" x14ac:dyDescent="0.35">
      <c r="A196" s="64">
        <v>2023</v>
      </c>
      <c r="B196" s="64">
        <v>3</v>
      </c>
      <c r="C196" s="65">
        <v>45108</v>
      </c>
      <c r="D196" s="65">
        <v>45199</v>
      </c>
      <c r="E196" s="72">
        <f t="shared" si="180"/>
        <v>42180</v>
      </c>
      <c r="F196" s="73">
        <v>0</v>
      </c>
      <c r="G196" s="73">
        <f t="shared" si="182"/>
        <v>253080</v>
      </c>
      <c r="H196" s="73">
        <f t="shared" si="183"/>
        <v>0</v>
      </c>
      <c r="I196" s="74">
        <f t="shared" si="178"/>
        <v>0</v>
      </c>
      <c r="J196" s="75">
        <f t="shared" si="181"/>
        <v>2400</v>
      </c>
      <c r="K196" s="76">
        <v>0</v>
      </c>
      <c r="L196" s="76">
        <f>L195+J196</f>
        <v>14400</v>
      </c>
      <c r="M196" s="76">
        <f t="shared" si="184"/>
        <v>8785.7000000000007</v>
      </c>
      <c r="N196" s="78">
        <f t="shared" si="185"/>
        <v>0.61011805555555565</v>
      </c>
      <c r="O196" s="75">
        <v>0</v>
      </c>
      <c r="P196" s="76">
        <v>0</v>
      </c>
      <c r="Q196" s="76">
        <f t="shared" si="173"/>
        <v>0</v>
      </c>
      <c r="R196" s="76">
        <f t="shared" si="174"/>
        <v>0</v>
      </c>
      <c r="S196" s="78">
        <v>0</v>
      </c>
      <c r="T196" s="68">
        <v>0</v>
      </c>
      <c r="U196" s="69">
        <v>0</v>
      </c>
    </row>
    <row r="197" spans="1:21" ht="15.5" x14ac:dyDescent="0.35">
      <c r="A197" s="64">
        <v>2023</v>
      </c>
      <c r="B197" s="64">
        <v>4</v>
      </c>
      <c r="C197" s="65">
        <v>45200</v>
      </c>
      <c r="D197" s="65">
        <v>45291</v>
      </c>
      <c r="E197" s="72">
        <f t="shared" si="180"/>
        <v>42180</v>
      </c>
      <c r="F197" s="73">
        <v>379620</v>
      </c>
      <c r="G197" s="73">
        <f t="shared" si="182"/>
        <v>295260</v>
      </c>
      <c r="H197" s="73">
        <f t="shared" si="183"/>
        <v>379620</v>
      </c>
      <c r="I197" s="74">
        <f t="shared" si="178"/>
        <v>1.2857142857142858</v>
      </c>
      <c r="J197" s="75">
        <f t="shared" si="181"/>
        <v>2400</v>
      </c>
      <c r="K197" s="76">
        <v>1052</v>
      </c>
      <c r="L197" s="76">
        <f t="shared" ref="L197:L208" si="187">L196+J197</f>
        <v>16800</v>
      </c>
      <c r="M197" s="76">
        <f t="shared" si="184"/>
        <v>9837.7000000000007</v>
      </c>
      <c r="N197" s="78">
        <f t="shared" si="185"/>
        <v>0.58557738095238099</v>
      </c>
      <c r="O197" s="75">
        <v>0</v>
      </c>
      <c r="P197" s="76"/>
      <c r="Q197" s="76">
        <f t="shared" si="173"/>
        <v>0</v>
      </c>
      <c r="R197" s="76">
        <v>0</v>
      </c>
      <c r="S197" s="78">
        <v>0</v>
      </c>
      <c r="T197" s="68">
        <v>0</v>
      </c>
      <c r="U197" s="69">
        <v>0</v>
      </c>
    </row>
    <row r="198" spans="1:21" ht="15.5" x14ac:dyDescent="0.35">
      <c r="A198" s="64">
        <v>2024</v>
      </c>
      <c r="B198" s="64">
        <v>1</v>
      </c>
      <c r="C198" s="65">
        <v>45292</v>
      </c>
      <c r="D198" s="65">
        <v>45382</v>
      </c>
      <c r="E198" s="72">
        <f t="shared" si="180"/>
        <v>42180</v>
      </c>
      <c r="F198" s="73">
        <v>0</v>
      </c>
      <c r="G198" s="73">
        <f t="shared" si="182"/>
        <v>337440</v>
      </c>
      <c r="H198" s="73">
        <f t="shared" si="183"/>
        <v>379620</v>
      </c>
      <c r="I198" s="74">
        <f t="shared" si="178"/>
        <v>1.125</v>
      </c>
      <c r="J198" s="75">
        <f t="shared" si="181"/>
        <v>2400</v>
      </c>
      <c r="K198" s="76">
        <v>0</v>
      </c>
      <c r="L198" s="76">
        <f t="shared" si="187"/>
        <v>19200</v>
      </c>
      <c r="M198" s="76">
        <f t="shared" si="184"/>
        <v>9837.7000000000007</v>
      </c>
      <c r="N198" s="78">
        <f t="shared" si="185"/>
        <v>0.51238020833333342</v>
      </c>
      <c r="O198" s="75">
        <v>0</v>
      </c>
      <c r="P198" s="76">
        <v>0</v>
      </c>
      <c r="Q198" s="76">
        <f t="shared" si="173"/>
        <v>0</v>
      </c>
      <c r="R198" s="76">
        <f t="shared" si="174"/>
        <v>0</v>
      </c>
      <c r="S198" s="78">
        <v>0</v>
      </c>
      <c r="T198" s="68">
        <v>0</v>
      </c>
      <c r="U198" s="69">
        <v>1</v>
      </c>
    </row>
    <row r="199" spans="1:21" ht="15.5" x14ac:dyDescent="0.35">
      <c r="A199" s="64">
        <v>2024</v>
      </c>
      <c r="B199" s="64">
        <v>2</v>
      </c>
      <c r="C199" s="65">
        <v>45383</v>
      </c>
      <c r="D199" s="65">
        <v>45473</v>
      </c>
      <c r="E199" s="72">
        <f t="shared" si="180"/>
        <v>42180</v>
      </c>
      <c r="F199" s="73">
        <v>0</v>
      </c>
      <c r="G199" s="73">
        <f t="shared" si="182"/>
        <v>379620</v>
      </c>
      <c r="H199" s="73">
        <f t="shared" si="183"/>
        <v>379620</v>
      </c>
      <c r="I199" s="74">
        <f t="shared" si="178"/>
        <v>1</v>
      </c>
      <c r="J199" s="75">
        <f t="shared" si="181"/>
        <v>2400</v>
      </c>
      <c r="K199" s="76"/>
      <c r="L199" s="76">
        <f t="shared" si="187"/>
        <v>21600</v>
      </c>
      <c r="M199" s="76">
        <f t="shared" si="184"/>
        <v>9837.7000000000007</v>
      </c>
      <c r="N199" s="78">
        <f t="shared" si="185"/>
        <v>0.45544907407407409</v>
      </c>
      <c r="O199" s="75">
        <v>0</v>
      </c>
      <c r="P199" s="76"/>
      <c r="Q199" s="76">
        <f t="shared" si="173"/>
        <v>0</v>
      </c>
      <c r="R199" s="76">
        <f t="shared" si="174"/>
        <v>0</v>
      </c>
      <c r="S199" s="78">
        <v>0</v>
      </c>
      <c r="T199" s="68">
        <v>0</v>
      </c>
      <c r="U199" s="69">
        <v>0</v>
      </c>
    </row>
    <row r="200" spans="1:21" ht="15.5" x14ac:dyDescent="0.35">
      <c r="A200" s="64">
        <v>2024</v>
      </c>
      <c r="B200" s="64">
        <v>3</v>
      </c>
      <c r="C200" s="65">
        <v>45474</v>
      </c>
      <c r="D200" s="65">
        <v>45565</v>
      </c>
      <c r="E200" s="72">
        <f t="shared" si="180"/>
        <v>42180</v>
      </c>
      <c r="F200" s="73">
        <v>0</v>
      </c>
      <c r="G200" s="73">
        <f t="shared" si="182"/>
        <v>421800</v>
      </c>
      <c r="H200" s="73">
        <f t="shared" si="183"/>
        <v>379620</v>
      </c>
      <c r="I200" s="128">
        <f t="shared" si="178"/>
        <v>0.9</v>
      </c>
      <c r="J200" s="75">
        <f t="shared" si="181"/>
        <v>2400</v>
      </c>
      <c r="K200" s="77">
        <v>0</v>
      </c>
      <c r="L200" s="77">
        <f t="shared" si="187"/>
        <v>24000</v>
      </c>
      <c r="M200" s="77">
        <f t="shared" si="184"/>
        <v>9837.7000000000007</v>
      </c>
      <c r="N200" s="78">
        <f t="shared" si="185"/>
        <v>0.40990416666666668</v>
      </c>
      <c r="O200" s="75">
        <v>80000</v>
      </c>
      <c r="P200" s="77">
        <v>35000</v>
      </c>
      <c r="Q200" s="77">
        <f t="shared" si="173"/>
        <v>80000</v>
      </c>
      <c r="R200" s="77">
        <f t="shared" si="174"/>
        <v>35000</v>
      </c>
      <c r="S200" s="78">
        <f t="shared" ref="S200:S209" si="188">R200/Q200</f>
        <v>0.4375</v>
      </c>
      <c r="T200" s="14">
        <v>4</v>
      </c>
      <c r="U200" s="3"/>
    </row>
    <row r="201" spans="1:21" ht="15.5" x14ac:dyDescent="0.35">
      <c r="A201" s="1">
        <v>2024</v>
      </c>
      <c r="B201" s="1">
        <v>4</v>
      </c>
      <c r="C201" s="2">
        <v>45566</v>
      </c>
      <c r="D201" s="2">
        <v>45657</v>
      </c>
      <c r="E201" s="22">
        <v>0</v>
      </c>
      <c r="F201" s="18"/>
      <c r="G201" s="18">
        <f t="shared" si="182"/>
        <v>421800</v>
      </c>
      <c r="H201" s="18">
        <f t="shared" si="183"/>
        <v>379620</v>
      </c>
      <c r="I201" s="24">
        <f t="shared" si="178"/>
        <v>0.9</v>
      </c>
      <c r="J201" s="11">
        <v>0</v>
      </c>
      <c r="K201" s="4"/>
      <c r="L201" s="4">
        <f t="shared" si="187"/>
        <v>24000</v>
      </c>
      <c r="M201" s="4">
        <f t="shared" si="184"/>
        <v>9837.7000000000007</v>
      </c>
      <c r="N201" s="16">
        <f t="shared" si="185"/>
        <v>0.40990416666666668</v>
      </c>
      <c r="O201" s="11">
        <v>0</v>
      </c>
      <c r="P201" s="4"/>
      <c r="Q201" s="4">
        <f t="shared" si="173"/>
        <v>80000</v>
      </c>
      <c r="R201" s="4">
        <f t="shared" si="174"/>
        <v>35000</v>
      </c>
      <c r="S201" s="16">
        <f t="shared" si="188"/>
        <v>0.4375</v>
      </c>
      <c r="T201" s="14"/>
      <c r="U201" s="3"/>
    </row>
    <row r="202" spans="1:21" ht="15.5" x14ac:dyDescent="0.35">
      <c r="A202" s="1">
        <v>2025</v>
      </c>
      <c r="B202" s="1">
        <v>1</v>
      </c>
      <c r="C202" s="2">
        <v>45658</v>
      </c>
      <c r="D202" s="2">
        <v>45747</v>
      </c>
      <c r="E202" s="22">
        <v>0</v>
      </c>
      <c r="F202" s="18"/>
      <c r="G202" s="18">
        <f t="shared" si="182"/>
        <v>421800</v>
      </c>
      <c r="H202" s="18">
        <f t="shared" si="183"/>
        <v>379620</v>
      </c>
      <c r="I202" s="24">
        <f t="shared" si="178"/>
        <v>0.9</v>
      </c>
      <c r="J202" s="11">
        <v>0</v>
      </c>
      <c r="K202" s="4"/>
      <c r="L202" s="4">
        <f t="shared" si="187"/>
        <v>24000</v>
      </c>
      <c r="M202" s="4">
        <f t="shared" si="184"/>
        <v>9837.7000000000007</v>
      </c>
      <c r="N202" s="16">
        <f t="shared" si="185"/>
        <v>0.40990416666666668</v>
      </c>
      <c r="O202" s="11">
        <v>0</v>
      </c>
      <c r="P202" s="4"/>
      <c r="Q202" s="4">
        <f t="shared" si="173"/>
        <v>80000</v>
      </c>
      <c r="R202" s="4">
        <f t="shared" si="174"/>
        <v>35000</v>
      </c>
      <c r="S202" s="16">
        <f t="shared" si="188"/>
        <v>0.4375</v>
      </c>
      <c r="T202" s="14"/>
      <c r="U202" s="3"/>
    </row>
    <row r="203" spans="1:21" ht="15.5" x14ac:dyDescent="0.35">
      <c r="A203" s="1">
        <v>2025</v>
      </c>
      <c r="B203" s="1">
        <v>2</v>
      </c>
      <c r="C203" s="2">
        <v>45748</v>
      </c>
      <c r="D203" s="2">
        <v>45838</v>
      </c>
      <c r="E203" s="22">
        <v>0</v>
      </c>
      <c r="F203" s="18"/>
      <c r="G203" s="18">
        <f t="shared" si="182"/>
        <v>421800</v>
      </c>
      <c r="H203" s="18">
        <f t="shared" si="183"/>
        <v>379620</v>
      </c>
      <c r="I203" s="24">
        <f t="shared" si="178"/>
        <v>0.9</v>
      </c>
      <c r="J203" s="11">
        <v>0</v>
      </c>
      <c r="K203" s="4"/>
      <c r="L203" s="4">
        <f t="shared" si="187"/>
        <v>24000</v>
      </c>
      <c r="M203" s="4">
        <f t="shared" si="184"/>
        <v>9837.7000000000007</v>
      </c>
      <c r="N203" s="16">
        <f t="shared" si="185"/>
        <v>0.40990416666666668</v>
      </c>
      <c r="O203" s="11">
        <v>0</v>
      </c>
      <c r="P203" s="4"/>
      <c r="Q203" s="4">
        <f t="shared" si="173"/>
        <v>80000</v>
      </c>
      <c r="R203" s="4">
        <f t="shared" si="174"/>
        <v>35000</v>
      </c>
      <c r="S203" s="16">
        <f t="shared" si="188"/>
        <v>0.4375</v>
      </c>
      <c r="T203" s="14"/>
      <c r="U203" s="3"/>
    </row>
    <row r="204" spans="1:21" ht="15.5" x14ac:dyDescent="0.35">
      <c r="A204" s="1">
        <v>2025</v>
      </c>
      <c r="B204" s="1">
        <v>3</v>
      </c>
      <c r="C204" s="2">
        <v>45839</v>
      </c>
      <c r="D204" s="2">
        <v>45930</v>
      </c>
      <c r="E204" s="22">
        <v>0</v>
      </c>
      <c r="F204" s="18"/>
      <c r="G204" s="18">
        <f t="shared" si="182"/>
        <v>421800</v>
      </c>
      <c r="H204" s="18">
        <f t="shared" si="183"/>
        <v>379620</v>
      </c>
      <c r="I204" s="24">
        <f t="shared" si="178"/>
        <v>0.9</v>
      </c>
      <c r="J204" s="11">
        <v>0</v>
      </c>
      <c r="K204" s="4"/>
      <c r="L204" s="4">
        <f t="shared" si="187"/>
        <v>24000</v>
      </c>
      <c r="M204" s="4">
        <f t="shared" si="184"/>
        <v>9837.7000000000007</v>
      </c>
      <c r="N204" s="16">
        <f t="shared" si="185"/>
        <v>0.40990416666666668</v>
      </c>
      <c r="O204" s="11">
        <v>0</v>
      </c>
      <c r="P204" s="4"/>
      <c r="Q204" s="4">
        <f t="shared" si="173"/>
        <v>80000</v>
      </c>
      <c r="R204" s="4">
        <f t="shared" si="174"/>
        <v>35000</v>
      </c>
      <c r="S204" s="16">
        <f t="shared" si="188"/>
        <v>0.4375</v>
      </c>
      <c r="T204" s="14"/>
      <c r="U204" s="3"/>
    </row>
    <row r="205" spans="1:21" ht="15.5" x14ac:dyDescent="0.35">
      <c r="A205" s="1">
        <v>2025</v>
      </c>
      <c r="B205" s="1">
        <v>4</v>
      </c>
      <c r="C205" s="2">
        <v>45931</v>
      </c>
      <c r="D205" s="2">
        <v>46022</v>
      </c>
      <c r="E205" s="22">
        <v>0</v>
      </c>
      <c r="F205" s="18"/>
      <c r="G205" s="18">
        <f t="shared" si="182"/>
        <v>421800</v>
      </c>
      <c r="H205" s="18">
        <f t="shared" si="183"/>
        <v>379620</v>
      </c>
      <c r="I205" s="24">
        <f t="shared" si="178"/>
        <v>0.9</v>
      </c>
      <c r="J205" s="11">
        <v>0</v>
      </c>
      <c r="K205" s="4"/>
      <c r="L205" s="4">
        <f t="shared" si="187"/>
        <v>24000</v>
      </c>
      <c r="M205" s="4">
        <f t="shared" si="184"/>
        <v>9837.7000000000007</v>
      </c>
      <c r="N205" s="16">
        <f t="shared" si="185"/>
        <v>0.40990416666666668</v>
      </c>
      <c r="O205" s="11">
        <v>0</v>
      </c>
      <c r="P205" s="4"/>
      <c r="Q205" s="4">
        <f t="shared" si="173"/>
        <v>80000</v>
      </c>
      <c r="R205" s="4">
        <f t="shared" si="174"/>
        <v>35000</v>
      </c>
      <c r="S205" s="16">
        <f t="shared" si="188"/>
        <v>0.4375</v>
      </c>
      <c r="T205" s="14"/>
      <c r="U205" s="3"/>
    </row>
    <row r="206" spans="1:21" ht="15.5" x14ac:dyDescent="0.35">
      <c r="A206" s="1">
        <v>2026</v>
      </c>
      <c r="B206" s="1">
        <v>1</v>
      </c>
      <c r="C206" s="2">
        <v>46023</v>
      </c>
      <c r="D206" s="2">
        <v>46112</v>
      </c>
      <c r="E206" s="22">
        <v>0</v>
      </c>
      <c r="F206" s="18"/>
      <c r="G206" s="18">
        <f t="shared" si="182"/>
        <v>421800</v>
      </c>
      <c r="H206" s="18">
        <f t="shared" si="183"/>
        <v>379620</v>
      </c>
      <c r="I206" s="24">
        <f>H206/G206</f>
        <v>0.9</v>
      </c>
      <c r="J206" s="11">
        <v>0</v>
      </c>
      <c r="K206" s="4"/>
      <c r="L206" s="4">
        <f t="shared" si="187"/>
        <v>24000</v>
      </c>
      <c r="M206" s="4">
        <f t="shared" si="184"/>
        <v>9837.7000000000007</v>
      </c>
      <c r="N206" s="16">
        <f t="shared" si="185"/>
        <v>0.40990416666666668</v>
      </c>
      <c r="O206" s="11">
        <v>0</v>
      </c>
      <c r="P206" s="4"/>
      <c r="Q206" s="4">
        <f t="shared" si="173"/>
        <v>80000</v>
      </c>
      <c r="R206" s="4">
        <f t="shared" si="174"/>
        <v>35000</v>
      </c>
      <c r="S206" s="16">
        <f t="shared" si="188"/>
        <v>0.4375</v>
      </c>
      <c r="T206" s="14"/>
      <c r="U206" s="3"/>
    </row>
    <row r="207" spans="1:21" ht="15.5" x14ac:dyDescent="0.35">
      <c r="A207" s="1">
        <v>2026</v>
      </c>
      <c r="B207" s="1">
        <v>2</v>
      </c>
      <c r="C207" s="2">
        <v>46113</v>
      </c>
      <c r="D207" s="2">
        <v>46203</v>
      </c>
      <c r="E207" s="22">
        <v>0</v>
      </c>
      <c r="F207" s="18"/>
      <c r="G207" s="18">
        <f t="shared" si="182"/>
        <v>421800</v>
      </c>
      <c r="H207" s="18">
        <f t="shared" si="183"/>
        <v>379620</v>
      </c>
      <c r="I207" s="24">
        <f t="shared" ref="I207:I208" si="189">H207/G207</f>
        <v>0.9</v>
      </c>
      <c r="J207" s="11">
        <v>0</v>
      </c>
      <c r="K207" s="4"/>
      <c r="L207" s="4">
        <f t="shared" si="187"/>
        <v>24000</v>
      </c>
      <c r="M207" s="4">
        <f t="shared" si="184"/>
        <v>9837.7000000000007</v>
      </c>
      <c r="N207" s="16">
        <f t="shared" si="185"/>
        <v>0.40990416666666668</v>
      </c>
      <c r="O207" s="11">
        <v>0</v>
      </c>
      <c r="P207" s="4"/>
      <c r="Q207" s="4">
        <f t="shared" si="173"/>
        <v>80000</v>
      </c>
      <c r="R207" s="4">
        <f t="shared" si="174"/>
        <v>35000</v>
      </c>
      <c r="S207" s="16">
        <f t="shared" si="188"/>
        <v>0.4375</v>
      </c>
      <c r="T207" s="14"/>
      <c r="U207" s="3"/>
    </row>
    <row r="208" spans="1:21" ht="15.5" x14ac:dyDescent="0.35">
      <c r="A208" s="1">
        <v>2026</v>
      </c>
      <c r="B208" s="1">
        <v>3</v>
      </c>
      <c r="C208" s="2">
        <v>46204</v>
      </c>
      <c r="D208" s="2">
        <v>46295</v>
      </c>
      <c r="E208" s="22">
        <v>0</v>
      </c>
      <c r="F208" s="18"/>
      <c r="G208" s="18">
        <f t="shared" si="182"/>
        <v>421800</v>
      </c>
      <c r="H208" s="18">
        <f>SUM(H207+F208)</f>
        <v>379620</v>
      </c>
      <c r="I208" s="24">
        <f t="shared" si="189"/>
        <v>0.9</v>
      </c>
      <c r="J208" s="11">
        <v>0</v>
      </c>
      <c r="K208" s="15"/>
      <c r="L208" s="15">
        <f t="shared" si="187"/>
        <v>24000</v>
      </c>
      <c r="M208" s="15">
        <f t="shared" si="184"/>
        <v>9837.7000000000007</v>
      </c>
      <c r="N208" s="16">
        <f t="shared" si="185"/>
        <v>0.40990416666666668</v>
      </c>
      <c r="O208" s="11">
        <v>0</v>
      </c>
      <c r="P208" s="15"/>
      <c r="Q208" s="15">
        <f t="shared" si="173"/>
        <v>80000</v>
      </c>
      <c r="R208" s="15">
        <f t="shared" si="174"/>
        <v>35000</v>
      </c>
      <c r="S208" s="16">
        <f t="shared" si="188"/>
        <v>0.4375</v>
      </c>
      <c r="T208" s="14"/>
      <c r="U208" s="3"/>
    </row>
    <row r="209" spans="1:30" ht="15" thickBot="1" x14ac:dyDescent="0.4">
      <c r="A209" s="36" t="s">
        <v>12</v>
      </c>
      <c r="B209" s="36"/>
      <c r="C209" s="36"/>
      <c r="D209" s="37"/>
      <c r="E209" s="38">
        <f>379620+42180</f>
        <v>421800</v>
      </c>
      <c r="F209" s="34">
        <f>SUM(F185:F208)</f>
        <v>379620</v>
      </c>
      <c r="G209" s="34">
        <f>G208</f>
        <v>421800</v>
      </c>
      <c r="H209" s="35">
        <f>H208</f>
        <v>379620</v>
      </c>
      <c r="I209" s="45">
        <f>H209/G209</f>
        <v>0.9</v>
      </c>
      <c r="J209" s="39">
        <v>24000</v>
      </c>
      <c r="K209" s="46">
        <f>SUM(K185:K208)</f>
        <v>9837.7000000000007</v>
      </c>
      <c r="L209" s="40">
        <f>L208</f>
        <v>24000</v>
      </c>
      <c r="M209" s="41">
        <f>M208</f>
        <v>9837.7000000000007</v>
      </c>
      <c r="N209" s="42">
        <f>M209/L209</f>
        <v>0.40990416666666668</v>
      </c>
      <c r="O209" s="39">
        <v>105000</v>
      </c>
      <c r="P209" s="46">
        <f>SUM(P185:P208)</f>
        <v>35000</v>
      </c>
      <c r="Q209" s="40">
        <f>Q208</f>
        <v>80000</v>
      </c>
      <c r="R209" s="41">
        <f>R208</f>
        <v>35000</v>
      </c>
      <c r="S209" s="42">
        <f t="shared" si="188"/>
        <v>0.4375</v>
      </c>
      <c r="T209" s="43">
        <f>SUM(T185:T208)</f>
        <v>4</v>
      </c>
      <c r="U209" s="43">
        <f>SUM(U185:U208)</f>
        <v>1</v>
      </c>
    </row>
    <row r="210" spans="1:30" ht="15" thickTop="1" x14ac:dyDescent="0.35">
      <c r="E210" s="33">
        <f>E209+J209+O209</f>
        <v>550800</v>
      </c>
    </row>
    <row r="212" spans="1:30" x14ac:dyDescent="0.35">
      <c r="A212" s="198" t="s">
        <v>69</v>
      </c>
      <c r="B212" s="198"/>
      <c r="C212" s="198"/>
      <c r="D212" s="198"/>
      <c r="E212" s="198"/>
      <c r="F212" s="198"/>
      <c r="G212" s="198"/>
      <c r="H212" s="198"/>
      <c r="I212" s="198"/>
      <c r="J212" s="198"/>
      <c r="K212" s="198"/>
      <c r="L212" s="198"/>
      <c r="M212" s="198"/>
      <c r="N212" s="198"/>
      <c r="O212" s="198"/>
      <c r="P212" s="198"/>
      <c r="Q212" s="198"/>
      <c r="R212" s="198"/>
      <c r="S212" s="198"/>
      <c r="T212" s="198"/>
      <c r="U212" s="198"/>
      <c r="V212" s="122"/>
      <c r="W212" s="122"/>
      <c r="X212" s="122"/>
      <c r="Y212" s="122"/>
      <c r="Z212" s="122"/>
      <c r="AA212" s="122"/>
    </row>
    <row r="213" spans="1:30" ht="15" thickBot="1" x14ac:dyDescent="0.4">
      <c r="A213" s="202" t="s">
        <v>0</v>
      </c>
      <c r="B213" s="204"/>
      <c r="C213" s="204"/>
      <c r="D213" s="210"/>
      <c r="E213" s="211" t="s">
        <v>18</v>
      </c>
      <c r="F213" s="212"/>
      <c r="G213" s="212"/>
      <c r="H213" s="212"/>
      <c r="I213" s="213"/>
      <c r="J213" s="199" t="s">
        <v>17</v>
      </c>
      <c r="K213" s="200"/>
      <c r="L213" s="200"/>
      <c r="M213" s="200"/>
      <c r="N213" s="201"/>
      <c r="O213" s="207" t="s">
        <v>56</v>
      </c>
      <c r="P213" s="208"/>
      <c r="Q213" s="208"/>
      <c r="R213" s="208"/>
      <c r="S213" s="209"/>
      <c r="T213" s="202"/>
      <c r="U213" s="203"/>
    </row>
    <row r="214" spans="1:30" ht="44" thickTop="1" x14ac:dyDescent="0.35">
      <c r="A214" s="7" t="s">
        <v>1</v>
      </c>
      <c r="B214" s="7" t="s">
        <v>2</v>
      </c>
      <c r="C214" s="7" t="s">
        <v>3</v>
      </c>
      <c r="D214" s="9" t="s">
        <v>9</v>
      </c>
      <c r="E214" s="19" t="s">
        <v>4</v>
      </c>
      <c r="F214" s="20" t="s">
        <v>6</v>
      </c>
      <c r="G214" s="20" t="s">
        <v>5</v>
      </c>
      <c r="H214" s="20" t="s">
        <v>7</v>
      </c>
      <c r="I214" s="23" t="s">
        <v>8</v>
      </c>
      <c r="J214" s="25" t="s">
        <v>4</v>
      </c>
      <c r="K214" s="26" t="s">
        <v>6</v>
      </c>
      <c r="L214" s="26" t="s">
        <v>5</v>
      </c>
      <c r="M214" s="26" t="s">
        <v>7</v>
      </c>
      <c r="N214" s="27" t="s">
        <v>8</v>
      </c>
      <c r="O214" s="84" t="s">
        <v>4</v>
      </c>
      <c r="P214" s="85" t="s">
        <v>6</v>
      </c>
      <c r="Q214" s="85" t="s">
        <v>5</v>
      </c>
      <c r="R214" s="85" t="s">
        <v>7</v>
      </c>
      <c r="S214" s="86" t="s">
        <v>8</v>
      </c>
      <c r="T214" s="13" t="s">
        <v>10</v>
      </c>
      <c r="U214" s="8" t="s">
        <v>11</v>
      </c>
    </row>
    <row r="215" spans="1:30" ht="15.5" x14ac:dyDescent="0.35">
      <c r="A215" s="64">
        <v>2020</v>
      </c>
      <c r="B215" s="64">
        <v>4</v>
      </c>
      <c r="C215" s="65">
        <v>44105</v>
      </c>
      <c r="D215" s="65">
        <v>44196</v>
      </c>
      <c r="E215" s="66">
        <v>0</v>
      </c>
      <c r="F215" s="66">
        <v>0</v>
      </c>
      <c r="G215" s="66">
        <v>0</v>
      </c>
      <c r="H215" s="66">
        <v>0</v>
      </c>
      <c r="I215" s="67">
        <v>0</v>
      </c>
      <c r="J215" s="66">
        <v>0</v>
      </c>
      <c r="K215" s="66">
        <v>0</v>
      </c>
      <c r="L215" s="66">
        <v>0</v>
      </c>
      <c r="M215" s="66">
        <v>0</v>
      </c>
      <c r="N215" s="67">
        <v>0</v>
      </c>
      <c r="O215" s="66">
        <v>0</v>
      </c>
      <c r="P215" s="66">
        <v>0</v>
      </c>
      <c r="Q215" s="66">
        <v>0</v>
      </c>
      <c r="R215" s="66">
        <v>0</v>
      </c>
      <c r="S215" s="67">
        <v>0</v>
      </c>
      <c r="T215" s="68">
        <v>0</v>
      </c>
      <c r="U215" s="69">
        <v>0</v>
      </c>
    </row>
    <row r="216" spans="1:30" ht="15.5" x14ac:dyDescent="0.35">
      <c r="A216" s="64">
        <v>2021</v>
      </c>
      <c r="B216" s="64">
        <v>1</v>
      </c>
      <c r="C216" s="65">
        <v>44197</v>
      </c>
      <c r="D216" s="65">
        <v>44286</v>
      </c>
      <c r="E216" s="66">
        <v>0</v>
      </c>
      <c r="F216" s="66">
        <v>0</v>
      </c>
      <c r="G216" s="66">
        <v>0</v>
      </c>
      <c r="H216" s="66">
        <v>0</v>
      </c>
      <c r="I216" s="67">
        <v>0</v>
      </c>
      <c r="J216" s="66">
        <v>0</v>
      </c>
      <c r="K216" s="66">
        <v>0</v>
      </c>
      <c r="L216" s="66">
        <v>0</v>
      </c>
      <c r="M216" s="66">
        <v>0</v>
      </c>
      <c r="N216" s="67">
        <v>0</v>
      </c>
      <c r="O216" s="66">
        <v>0</v>
      </c>
      <c r="P216" s="66">
        <v>0</v>
      </c>
      <c r="Q216" s="66">
        <v>0</v>
      </c>
      <c r="R216" s="66">
        <v>0</v>
      </c>
      <c r="S216" s="67">
        <v>0</v>
      </c>
      <c r="T216" s="68">
        <v>0</v>
      </c>
      <c r="U216" s="69">
        <v>0</v>
      </c>
    </row>
    <row r="217" spans="1:30" s="108" customFormat="1" ht="15.5" x14ac:dyDescent="0.35">
      <c r="A217" s="89">
        <v>2021</v>
      </c>
      <c r="B217" s="89">
        <v>2</v>
      </c>
      <c r="C217" s="90">
        <v>44287</v>
      </c>
      <c r="D217" s="90">
        <v>44377</v>
      </c>
      <c r="E217" s="100">
        <v>0</v>
      </c>
      <c r="F217" s="92">
        <v>0</v>
      </c>
      <c r="G217" s="92">
        <f>E217</f>
        <v>0</v>
      </c>
      <c r="H217" s="92">
        <f>SUM(F217+0)</f>
        <v>0</v>
      </c>
      <c r="I217" s="101">
        <v>0</v>
      </c>
      <c r="J217" s="102">
        <v>0</v>
      </c>
      <c r="K217" s="103">
        <v>0</v>
      </c>
      <c r="L217" s="104">
        <f>J217</f>
        <v>0</v>
      </c>
      <c r="M217" s="103">
        <f>SUM(K217+0)</f>
        <v>0</v>
      </c>
      <c r="N217" s="105">
        <v>0</v>
      </c>
      <c r="O217" s="102">
        <v>0</v>
      </c>
      <c r="P217" s="103">
        <v>0</v>
      </c>
      <c r="Q217" s="104">
        <f>O217</f>
        <v>0</v>
      </c>
      <c r="R217" s="103">
        <f>SUM(P217+0)</f>
        <v>0</v>
      </c>
      <c r="S217" s="105">
        <v>0</v>
      </c>
      <c r="T217" s="106">
        <v>0</v>
      </c>
      <c r="U217" s="107">
        <v>0</v>
      </c>
      <c r="V217"/>
      <c r="W217"/>
      <c r="X217"/>
      <c r="Y217"/>
      <c r="Z217"/>
      <c r="AA217"/>
      <c r="AB217"/>
      <c r="AC217"/>
      <c r="AD217"/>
    </row>
    <row r="218" spans="1:30" ht="15.5" x14ac:dyDescent="0.35">
      <c r="A218" s="64">
        <v>2021</v>
      </c>
      <c r="B218" s="64">
        <v>3</v>
      </c>
      <c r="C218" s="65">
        <v>44378</v>
      </c>
      <c r="D218" s="65">
        <v>44469</v>
      </c>
      <c r="E218" s="72"/>
      <c r="F218" s="73"/>
      <c r="G218" s="73">
        <f t="shared" ref="G218:G219" si="190">G217+E218</f>
        <v>0</v>
      </c>
      <c r="H218" s="73">
        <f t="shared" ref="H218:H222" si="191">SUM(H217+F218)</f>
        <v>0</v>
      </c>
      <c r="I218" s="74">
        <v>0</v>
      </c>
      <c r="J218" s="75">
        <v>0</v>
      </c>
      <c r="K218" s="76"/>
      <c r="L218" s="76">
        <f>L217+J218</f>
        <v>0</v>
      </c>
      <c r="M218" s="76">
        <f>SUM(M217+K218)</f>
        <v>0</v>
      </c>
      <c r="N218" s="78">
        <v>0</v>
      </c>
      <c r="O218" s="75">
        <v>0</v>
      </c>
      <c r="P218" s="76"/>
      <c r="Q218" s="76">
        <f t="shared" ref="Q218:Q238" si="192">Q217+O218</f>
        <v>0</v>
      </c>
      <c r="R218" s="76">
        <f t="shared" ref="R218:R238" si="193">SUM(R217+P218)</f>
        <v>0</v>
      </c>
      <c r="S218" s="78">
        <v>0</v>
      </c>
      <c r="T218" s="68">
        <v>0</v>
      </c>
      <c r="U218" s="69">
        <v>0</v>
      </c>
    </row>
    <row r="219" spans="1:30" ht="15.5" x14ac:dyDescent="0.35">
      <c r="A219" s="64">
        <v>2022</v>
      </c>
      <c r="B219" s="64">
        <v>4</v>
      </c>
      <c r="C219" s="65">
        <v>44470</v>
      </c>
      <c r="D219" s="65">
        <v>44561</v>
      </c>
      <c r="E219" s="72">
        <v>0</v>
      </c>
      <c r="F219" s="73">
        <v>0</v>
      </c>
      <c r="G219" s="73">
        <f t="shared" si="190"/>
        <v>0</v>
      </c>
      <c r="H219" s="73">
        <f t="shared" si="191"/>
        <v>0</v>
      </c>
      <c r="I219" s="74">
        <v>0</v>
      </c>
      <c r="J219" s="75">
        <v>0</v>
      </c>
      <c r="K219" s="76">
        <v>0</v>
      </c>
      <c r="L219" s="76">
        <f t="shared" ref="L219:L222" si="194">L218+J219</f>
        <v>0</v>
      </c>
      <c r="M219" s="76">
        <f t="shared" ref="M219:M221" si="195">SUM(M218+K219)</f>
        <v>0</v>
      </c>
      <c r="N219" s="78">
        <v>0</v>
      </c>
      <c r="O219" s="75">
        <v>0</v>
      </c>
      <c r="P219" s="76">
        <v>0</v>
      </c>
      <c r="Q219" s="76">
        <f t="shared" si="192"/>
        <v>0</v>
      </c>
      <c r="R219" s="76">
        <f t="shared" si="193"/>
        <v>0</v>
      </c>
      <c r="S219" s="78">
        <v>0</v>
      </c>
      <c r="T219" s="68">
        <v>0</v>
      </c>
      <c r="U219" s="69">
        <v>0</v>
      </c>
    </row>
    <row r="220" spans="1:30" ht="15.5" x14ac:dyDescent="0.35">
      <c r="A220" s="64">
        <v>2022</v>
      </c>
      <c r="B220" s="64">
        <v>1</v>
      </c>
      <c r="C220" s="65">
        <v>44562</v>
      </c>
      <c r="D220" s="65">
        <v>44651</v>
      </c>
      <c r="E220" s="72">
        <v>0</v>
      </c>
      <c r="F220" s="73">
        <v>0</v>
      </c>
      <c r="G220" s="73">
        <f>G219+E220</f>
        <v>0</v>
      </c>
      <c r="H220" s="73">
        <f t="shared" si="191"/>
        <v>0</v>
      </c>
      <c r="I220" s="74">
        <v>0</v>
      </c>
      <c r="J220" s="75">
        <v>0</v>
      </c>
      <c r="K220" s="76">
        <v>0</v>
      </c>
      <c r="L220" s="76">
        <f t="shared" si="194"/>
        <v>0</v>
      </c>
      <c r="M220" s="76">
        <f t="shared" si="195"/>
        <v>0</v>
      </c>
      <c r="N220" s="78">
        <v>0</v>
      </c>
      <c r="O220" s="75">
        <v>0</v>
      </c>
      <c r="P220" s="76">
        <v>0</v>
      </c>
      <c r="Q220" s="76">
        <f t="shared" si="192"/>
        <v>0</v>
      </c>
      <c r="R220" s="76">
        <f t="shared" si="193"/>
        <v>0</v>
      </c>
      <c r="S220" s="78">
        <v>0</v>
      </c>
      <c r="T220" s="68">
        <v>0</v>
      </c>
      <c r="U220" s="69">
        <v>0</v>
      </c>
    </row>
    <row r="221" spans="1:30" ht="15.5" x14ac:dyDescent="0.35">
      <c r="A221" s="64">
        <v>2022</v>
      </c>
      <c r="B221" s="64">
        <v>2</v>
      </c>
      <c r="C221" s="65">
        <v>44652</v>
      </c>
      <c r="D221" s="65">
        <v>44742</v>
      </c>
      <c r="E221" s="72">
        <f>$E$239/8</f>
        <v>14942.875</v>
      </c>
      <c r="F221" s="73">
        <v>0</v>
      </c>
      <c r="G221" s="73">
        <f t="shared" ref="G221:G222" si="196">G220+E221</f>
        <v>14942.875</v>
      </c>
      <c r="H221" s="73">
        <f t="shared" si="191"/>
        <v>0</v>
      </c>
      <c r="I221" s="74">
        <f t="shared" ref="I221:I235" si="197">H221/G221</f>
        <v>0</v>
      </c>
      <c r="J221" s="75">
        <f>$J$239/8</f>
        <v>750</v>
      </c>
      <c r="K221" s="76">
        <v>0</v>
      </c>
      <c r="L221" s="76">
        <f t="shared" si="194"/>
        <v>750</v>
      </c>
      <c r="M221" s="76">
        <f t="shared" si="195"/>
        <v>0</v>
      </c>
      <c r="N221" s="78">
        <f t="shared" ref="N221:N222" si="198">M221/L221</f>
        <v>0</v>
      </c>
      <c r="O221" s="75">
        <v>0</v>
      </c>
      <c r="P221" s="76">
        <v>0</v>
      </c>
      <c r="Q221" s="76">
        <f t="shared" si="192"/>
        <v>0</v>
      </c>
      <c r="R221" s="76">
        <f t="shared" si="193"/>
        <v>0</v>
      </c>
      <c r="S221" s="78">
        <v>0</v>
      </c>
      <c r="T221" s="68">
        <v>0</v>
      </c>
      <c r="U221" s="69">
        <v>0</v>
      </c>
    </row>
    <row r="222" spans="1:30" ht="15.5" x14ac:dyDescent="0.35">
      <c r="A222" s="64">
        <v>2022</v>
      </c>
      <c r="B222" s="64">
        <v>3</v>
      </c>
      <c r="C222" s="65">
        <v>44743</v>
      </c>
      <c r="D222" s="65">
        <v>44834</v>
      </c>
      <c r="E222" s="72">
        <f t="shared" ref="E222:E228" si="199">$E$239/8</f>
        <v>14942.875</v>
      </c>
      <c r="F222" s="73">
        <v>0</v>
      </c>
      <c r="G222" s="73">
        <f t="shared" si="196"/>
        <v>29885.75</v>
      </c>
      <c r="H222" s="73">
        <f t="shared" si="191"/>
        <v>0</v>
      </c>
      <c r="I222" s="74">
        <f t="shared" si="197"/>
        <v>0</v>
      </c>
      <c r="J222" s="75">
        <f t="shared" ref="J222:J228" si="200">$J$239/8</f>
        <v>750</v>
      </c>
      <c r="K222" s="76">
        <v>0</v>
      </c>
      <c r="L222" s="76">
        <f t="shared" si="194"/>
        <v>1500</v>
      </c>
      <c r="M222" s="76">
        <f>SUM(M221+K222)</f>
        <v>0</v>
      </c>
      <c r="N222" s="78">
        <f t="shared" si="198"/>
        <v>0</v>
      </c>
      <c r="O222" s="75">
        <v>0</v>
      </c>
      <c r="P222" s="76">
        <v>0</v>
      </c>
      <c r="Q222" s="76">
        <f t="shared" si="192"/>
        <v>0</v>
      </c>
      <c r="R222" s="76">
        <f t="shared" si="193"/>
        <v>0</v>
      </c>
      <c r="S222" s="78">
        <v>0</v>
      </c>
      <c r="T222" s="68">
        <v>0</v>
      </c>
      <c r="U222" s="69">
        <v>0</v>
      </c>
    </row>
    <row r="223" spans="1:30" ht="15.5" x14ac:dyDescent="0.35">
      <c r="A223" s="64">
        <v>2022</v>
      </c>
      <c r="B223" s="64">
        <v>4</v>
      </c>
      <c r="C223" s="65">
        <v>44835</v>
      </c>
      <c r="D223" s="65">
        <v>44926</v>
      </c>
      <c r="E223" s="72">
        <f t="shared" si="199"/>
        <v>14942.875</v>
      </c>
      <c r="F223" s="73">
        <v>0</v>
      </c>
      <c r="G223" s="73">
        <f>G222+E223</f>
        <v>44828.625</v>
      </c>
      <c r="H223" s="73">
        <f>SUM(H222+F223)</f>
        <v>0</v>
      </c>
      <c r="I223" s="74">
        <f t="shared" si="197"/>
        <v>0</v>
      </c>
      <c r="J223" s="75">
        <f t="shared" si="200"/>
        <v>750</v>
      </c>
      <c r="K223" s="76">
        <v>2314</v>
      </c>
      <c r="L223" s="76">
        <f>L222+J223</f>
        <v>2250</v>
      </c>
      <c r="M223" s="76">
        <f>SUM(M222+K223)</f>
        <v>2314</v>
      </c>
      <c r="N223" s="78">
        <f>M223/L223</f>
        <v>1.0284444444444445</v>
      </c>
      <c r="O223" s="75">
        <v>0</v>
      </c>
      <c r="P223" s="76">
        <v>0</v>
      </c>
      <c r="Q223" s="76">
        <f t="shared" si="192"/>
        <v>0</v>
      </c>
      <c r="R223" s="76">
        <f t="shared" si="193"/>
        <v>0</v>
      </c>
      <c r="S223" s="78">
        <v>0</v>
      </c>
      <c r="T223" s="68">
        <v>0</v>
      </c>
      <c r="U223" s="69">
        <v>0</v>
      </c>
    </row>
    <row r="224" spans="1:30" ht="15.5" x14ac:dyDescent="0.35">
      <c r="A224" s="64">
        <v>2023</v>
      </c>
      <c r="B224" s="64">
        <v>1</v>
      </c>
      <c r="C224" s="65">
        <v>44927</v>
      </c>
      <c r="D224" s="65">
        <v>45016</v>
      </c>
      <c r="E224" s="72">
        <f t="shared" si="199"/>
        <v>14942.875</v>
      </c>
      <c r="F224" s="73">
        <v>107415</v>
      </c>
      <c r="G224" s="73">
        <f t="shared" ref="G224:G238" si="201">G223+E224</f>
        <v>59771.5</v>
      </c>
      <c r="H224" s="73">
        <f t="shared" ref="H224:H237" si="202">SUM(H223+F224)</f>
        <v>107415</v>
      </c>
      <c r="I224" s="74">
        <f t="shared" si="197"/>
        <v>1.7970939327271358</v>
      </c>
      <c r="J224" s="75">
        <f t="shared" si="200"/>
        <v>750</v>
      </c>
      <c r="K224" s="76">
        <v>834</v>
      </c>
      <c r="L224" s="76">
        <f>L223+J224</f>
        <v>3000</v>
      </c>
      <c r="M224" s="76">
        <f t="shared" ref="M224:M238" si="203">SUM(M223+K224)</f>
        <v>3148</v>
      </c>
      <c r="N224" s="78">
        <f t="shared" ref="N224:N238" si="204">M224/L224</f>
        <v>1.0493333333333332</v>
      </c>
      <c r="O224" s="75">
        <v>0</v>
      </c>
      <c r="P224" s="76">
        <v>0</v>
      </c>
      <c r="Q224" s="76">
        <f t="shared" si="192"/>
        <v>0</v>
      </c>
      <c r="R224" s="76">
        <f t="shared" si="193"/>
        <v>0</v>
      </c>
      <c r="S224" s="78">
        <v>0</v>
      </c>
      <c r="T224" s="68">
        <v>0</v>
      </c>
      <c r="U224" s="69">
        <v>0</v>
      </c>
    </row>
    <row r="225" spans="1:21" ht="15.5" x14ac:dyDescent="0.35">
      <c r="A225" s="64">
        <v>2023</v>
      </c>
      <c r="B225" s="64">
        <v>2</v>
      </c>
      <c r="C225" s="65">
        <v>45017</v>
      </c>
      <c r="D225" s="65">
        <v>45107</v>
      </c>
      <c r="E225" s="72">
        <f t="shared" si="199"/>
        <v>14942.875</v>
      </c>
      <c r="F225" s="73">
        <v>0</v>
      </c>
      <c r="G225" s="73">
        <f t="shared" si="201"/>
        <v>74714.375</v>
      </c>
      <c r="H225" s="73">
        <f t="shared" si="202"/>
        <v>107415</v>
      </c>
      <c r="I225" s="74">
        <f t="shared" si="197"/>
        <v>1.4376751461817088</v>
      </c>
      <c r="J225" s="75">
        <f t="shared" si="200"/>
        <v>750</v>
      </c>
      <c r="K225" s="76">
        <v>0</v>
      </c>
      <c r="L225" s="76">
        <f t="shared" ref="L225" si="205">L224+J225</f>
        <v>3750</v>
      </c>
      <c r="M225" s="76">
        <f t="shared" si="203"/>
        <v>3148</v>
      </c>
      <c r="N225" s="78">
        <f t="shared" si="204"/>
        <v>0.83946666666666669</v>
      </c>
      <c r="O225" s="75">
        <v>0</v>
      </c>
      <c r="P225" s="76">
        <v>0</v>
      </c>
      <c r="Q225" s="76">
        <f t="shared" si="192"/>
        <v>0</v>
      </c>
      <c r="R225" s="76">
        <f t="shared" si="193"/>
        <v>0</v>
      </c>
      <c r="S225" s="78">
        <v>0</v>
      </c>
      <c r="T225" s="68">
        <v>0</v>
      </c>
      <c r="U225" s="69">
        <v>0</v>
      </c>
    </row>
    <row r="226" spans="1:21" ht="15.5" x14ac:dyDescent="0.35">
      <c r="A226" s="64">
        <v>2023</v>
      </c>
      <c r="B226" s="64">
        <v>3</v>
      </c>
      <c r="C226" s="65">
        <v>45108</v>
      </c>
      <c r="D226" s="65">
        <v>45199</v>
      </c>
      <c r="E226" s="72">
        <f t="shared" si="199"/>
        <v>14942.875</v>
      </c>
      <c r="F226" s="73">
        <v>0</v>
      </c>
      <c r="G226" s="73">
        <f t="shared" si="201"/>
        <v>89657.25</v>
      </c>
      <c r="H226" s="73">
        <f t="shared" si="202"/>
        <v>107415</v>
      </c>
      <c r="I226" s="74">
        <f t="shared" si="197"/>
        <v>1.1980626218180905</v>
      </c>
      <c r="J226" s="75">
        <f t="shared" si="200"/>
        <v>750</v>
      </c>
      <c r="K226" s="76">
        <v>0</v>
      </c>
      <c r="L226" s="76">
        <f>L225+J226</f>
        <v>4500</v>
      </c>
      <c r="M226" s="76">
        <f t="shared" si="203"/>
        <v>3148</v>
      </c>
      <c r="N226" s="78">
        <f t="shared" si="204"/>
        <v>0.6995555555555556</v>
      </c>
      <c r="O226" s="75">
        <v>0</v>
      </c>
      <c r="P226" s="76">
        <v>0</v>
      </c>
      <c r="Q226" s="76">
        <f t="shared" si="192"/>
        <v>0</v>
      </c>
      <c r="R226" s="76">
        <f t="shared" si="193"/>
        <v>0</v>
      </c>
      <c r="S226" s="78">
        <v>0</v>
      </c>
      <c r="T226" s="68">
        <v>0</v>
      </c>
      <c r="U226" s="69">
        <v>0</v>
      </c>
    </row>
    <row r="227" spans="1:21" ht="15.5" x14ac:dyDescent="0.35">
      <c r="A227" s="64">
        <v>2023</v>
      </c>
      <c r="B227" s="64">
        <v>4</v>
      </c>
      <c r="C227" s="65">
        <v>45200</v>
      </c>
      <c r="D227" s="65">
        <v>45291</v>
      </c>
      <c r="E227" s="72">
        <f t="shared" si="199"/>
        <v>14942.875</v>
      </c>
      <c r="F227" s="73">
        <v>0</v>
      </c>
      <c r="G227" s="73">
        <f t="shared" si="201"/>
        <v>104600.125</v>
      </c>
      <c r="H227" s="73">
        <f t="shared" si="202"/>
        <v>107415</v>
      </c>
      <c r="I227" s="74">
        <f t="shared" si="197"/>
        <v>1.0269108187012206</v>
      </c>
      <c r="J227" s="75">
        <f t="shared" si="200"/>
        <v>750</v>
      </c>
      <c r="K227" s="76"/>
      <c r="L227" s="76">
        <f t="shared" ref="L227:L238" si="206">L226+J227</f>
        <v>5250</v>
      </c>
      <c r="M227" s="76">
        <f t="shared" si="203"/>
        <v>3148</v>
      </c>
      <c r="N227" s="78">
        <f t="shared" si="204"/>
        <v>0.59961904761904761</v>
      </c>
      <c r="O227" s="75">
        <v>0</v>
      </c>
      <c r="P227" s="76">
        <v>0</v>
      </c>
      <c r="Q227" s="76">
        <f t="shared" si="192"/>
        <v>0</v>
      </c>
      <c r="R227" s="76">
        <f t="shared" si="193"/>
        <v>0</v>
      </c>
      <c r="S227" s="78">
        <v>0</v>
      </c>
      <c r="T227" s="68">
        <v>0</v>
      </c>
      <c r="U227" s="69">
        <v>1</v>
      </c>
    </row>
    <row r="228" spans="1:21" ht="15.5" x14ac:dyDescent="0.35">
      <c r="A228" s="64">
        <v>2024</v>
      </c>
      <c r="B228" s="64">
        <v>1</v>
      </c>
      <c r="C228" s="65">
        <v>45292</v>
      </c>
      <c r="D228" s="65">
        <v>45382</v>
      </c>
      <c r="E228" s="72">
        <f t="shared" si="199"/>
        <v>14942.875</v>
      </c>
      <c r="F228" s="73">
        <v>12128</v>
      </c>
      <c r="G228" s="73">
        <f t="shared" si="201"/>
        <v>119543</v>
      </c>
      <c r="H228" s="73">
        <f t="shared" si="202"/>
        <v>119543</v>
      </c>
      <c r="I228" s="74">
        <f t="shared" si="197"/>
        <v>1</v>
      </c>
      <c r="J228" s="75">
        <f t="shared" si="200"/>
        <v>750</v>
      </c>
      <c r="K228" s="76">
        <v>2852</v>
      </c>
      <c r="L228" s="76">
        <f t="shared" si="206"/>
        <v>6000</v>
      </c>
      <c r="M228" s="76">
        <f t="shared" si="203"/>
        <v>6000</v>
      </c>
      <c r="N228" s="78">
        <f t="shared" si="204"/>
        <v>1</v>
      </c>
      <c r="O228" s="75">
        <v>0</v>
      </c>
      <c r="P228" s="76"/>
      <c r="Q228" s="76">
        <f t="shared" si="192"/>
        <v>0</v>
      </c>
      <c r="R228" s="76">
        <f t="shared" si="193"/>
        <v>0</v>
      </c>
      <c r="S228" s="78" t="e">
        <f t="shared" ref="S228:S239" si="207">R228/Q228</f>
        <v>#DIV/0!</v>
      </c>
      <c r="T228" s="68">
        <v>1</v>
      </c>
      <c r="U228" s="69">
        <v>0</v>
      </c>
    </row>
    <row r="229" spans="1:21" ht="15.5" x14ac:dyDescent="0.35">
      <c r="A229" s="64">
        <v>2024</v>
      </c>
      <c r="B229" s="64">
        <v>2</v>
      </c>
      <c r="C229" s="65">
        <v>45383</v>
      </c>
      <c r="D229" s="65">
        <v>45473</v>
      </c>
      <c r="E229" s="72">
        <v>0</v>
      </c>
      <c r="F229" s="73"/>
      <c r="G229" s="73">
        <f t="shared" si="201"/>
        <v>119543</v>
      </c>
      <c r="H229" s="73">
        <f t="shared" si="202"/>
        <v>119543</v>
      </c>
      <c r="I229" s="74">
        <f t="shared" si="197"/>
        <v>1</v>
      </c>
      <c r="J229" s="75">
        <v>0</v>
      </c>
      <c r="K229" s="76"/>
      <c r="L229" s="76">
        <f t="shared" si="206"/>
        <v>6000</v>
      </c>
      <c r="M229" s="76">
        <f t="shared" si="203"/>
        <v>6000</v>
      </c>
      <c r="N229" s="78">
        <f t="shared" si="204"/>
        <v>1</v>
      </c>
      <c r="O229" s="75">
        <v>0</v>
      </c>
      <c r="P229" s="76"/>
      <c r="Q229" s="76">
        <f t="shared" si="192"/>
        <v>0</v>
      </c>
      <c r="R229" s="76">
        <f t="shared" si="193"/>
        <v>0</v>
      </c>
      <c r="S229" s="78" t="e">
        <f t="shared" si="207"/>
        <v>#DIV/0!</v>
      </c>
      <c r="T229" s="68"/>
      <c r="U229" s="69"/>
    </row>
    <row r="230" spans="1:21" ht="15.5" x14ac:dyDescent="0.35">
      <c r="A230" s="64">
        <v>2024</v>
      </c>
      <c r="B230" s="64">
        <v>3</v>
      </c>
      <c r="C230" s="65">
        <v>45474</v>
      </c>
      <c r="D230" s="65">
        <v>45565</v>
      </c>
      <c r="E230" s="72">
        <v>0</v>
      </c>
      <c r="F230" s="73"/>
      <c r="G230" s="73">
        <f t="shared" si="201"/>
        <v>119543</v>
      </c>
      <c r="H230" s="73">
        <f t="shared" si="202"/>
        <v>119543</v>
      </c>
      <c r="I230" s="128">
        <f t="shared" si="197"/>
        <v>1</v>
      </c>
      <c r="J230" s="75">
        <v>0</v>
      </c>
      <c r="K230" s="77"/>
      <c r="L230" s="77">
        <f t="shared" si="206"/>
        <v>6000</v>
      </c>
      <c r="M230" s="77">
        <f t="shared" si="203"/>
        <v>6000</v>
      </c>
      <c r="N230" s="78">
        <f t="shared" si="204"/>
        <v>1</v>
      </c>
      <c r="O230" s="75">
        <v>0</v>
      </c>
      <c r="P230" s="77"/>
      <c r="Q230" s="77">
        <f t="shared" si="192"/>
        <v>0</v>
      </c>
      <c r="R230" s="77">
        <f t="shared" si="193"/>
        <v>0</v>
      </c>
      <c r="S230" s="78" t="e">
        <f t="shared" si="207"/>
        <v>#DIV/0!</v>
      </c>
      <c r="T230" s="131"/>
      <c r="U230" s="130"/>
    </row>
    <row r="231" spans="1:21" ht="15.5" x14ac:dyDescent="0.35">
      <c r="A231" s="64">
        <v>2024</v>
      </c>
      <c r="B231" s="64">
        <v>4</v>
      </c>
      <c r="C231" s="65">
        <v>45566</v>
      </c>
      <c r="D231" s="65">
        <v>45657</v>
      </c>
      <c r="E231" s="72">
        <v>0</v>
      </c>
      <c r="F231" s="73"/>
      <c r="G231" s="73">
        <f t="shared" si="201"/>
        <v>119543</v>
      </c>
      <c r="H231" s="73">
        <f t="shared" si="202"/>
        <v>119543</v>
      </c>
      <c r="I231" s="128">
        <f t="shared" si="197"/>
        <v>1</v>
      </c>
      <c r="J231" s="75">
        <v>0</v>
      </c>
      <c r="K231" s="77"/>
      <c r="L231" s="77">
        <f t="shared" si="206"/>
        <v>6000</v>
      </c>
      <c r="M231" s="77">
        <f t="shared" si="203"/>
        <v>6000</v>
      </c>
      <c r="N231" s="78">
        <f t="shared" si="204"/>
        <v>1</v>
      </c>
      <c r="O231" s="75">
        <v>0</v>
      </c>
      <c r="P231" s="77"/>
      <c r="Q231" s="77">
        <f t="shared" si="192"/>
        <v>0</v>
      </c>
      <c r="R231" s="77">
        <f t="shared" si="193"/>
        <v>0</v>
      </c>
      <c r="S231" s="78" t="e">
        <f t="shared" si="207"/>
        <v>#DIV/0!</v>
      </c>
      <c r="T231" s="131"/>
      <c r="U231" s="130"/>
    </row>
    <row r="232" spans="1:21" ht="15.5" x14ac:dyDescent="0.35">
      <c r="A232" s="64">
        <v>2025</v>
      </c>
      <c r="B232" s="64">
        <v>1</v>
      </c>
      <c r="C232" s="65">
        <v>45658</v>
      </c>
      <c r="D232" s="65">
        <v>45747</v>
      </c>
      <c r="E232" s="72">
        <v>0</v>
      </c>
      <c r="F232" s="73"/>
      <c r="G232" s="73">
        <f t="shared" si="201"/>
        <v>119543</v>
      </c>
      <c r="H232" s="73">
        <f t="shared" si="202"/>
        <v>119543</v>
      </c>
      <c r="I232" s="128">
        <f t="shared" si="197"/>
        <v>1</v>
      </c>
      <c r="J232" s="75">
        <v>0</v>
      </c>
      <c r="K232" s="77"/>
      <c r="L232" s="77">
        <f t="shared" si="206"/>
        <v>6000</v>
      </c>
      <c r="M232" s="77">
        <f t="shared" si="203"/>
        <v>6000</v>
      </c>
      <c r="N232" s="78">
        <f t="shared" si="204"/>
        <v>1</v>
      </c>
      <c r="O232" s="75">
        <v>0</v>
      </c>
      <c r="P232" s="77"/>
      <c r="Q232" s="77">
        <f t="shared" si="192"/>
        <v>0</v>
      </c>
      <c r="R232" s="77">
        <f t="shared" si="193"/>
        <v>0</v>
      </c>
      <c r="S232" s="78" t="e">
        <f t="shared" si="207"/>
        <v>#DIV/0!</v>
      </c>
      <c r="T232" s="131"/>
      <c r="U232" s="130"/>
    </row>
    <row r="233" spans="1:21" ht="15.5" x14ac:dyDescent="0.35">
      <c r="A233" s="64">
        <v>2025</v>
      </c>
      <c r="B233" s="64">
        <v>2</v>
      </c>
      <c r="C233" s="65">
        <v>45748</v>
      </c>
      <c r="D233" s="65">
        <v>45838</v>
      </c>
      <c r="E233" s="72">
        <v>0</v>
      </c>
      <c r="F233" s="73"/>
      <c r="G233" s="73">
        <f t="shared" si="201"/>
        <v>119543</v>
      </c>
      <c r="H233" s="73">
        <f t="shared" si="202"/>
        <v>119543</v>
      </c>
      <c r="I233" s="128">
        <f t="shared" si="197"/>
        <v>1</v>
      </c>
      <c r="J233" s="75">
        <v>0</v>
      </c>
      <c r="K233" s="77"/>
      <c r="L233" s="77">
        <f t="shared" si="206"/>
        <v>6000</v>
      </c>
      <c r="M233" s="77">
        <f t="shared" si="203"/>
        <v>6000</v>
      </c>
      <c r="N233" s="78">
        <f t="shared" si="204"/>
        <v>1</v>
      </c>
      <c r="O233" s="75">
        <v>0</v>
      </c>
      <c r="P233" s="77"/>
      <c r="Q233" s="77">
        <f t="shared" si="192"/>
        <v>0</v>
      </c>
      <c r="R233" s="77">
        <f t="shared" si="193"/>
        <v>0</v>
      </c>
      <c r="S233" s="78" t="e">
        <f t="shared" si="207"/>
        <v>#DIV/0!</v>
      </c>
      <c r="T233" s="131"/>
      <c r="U233" s="130"/>
    </row>
    <row r="234" spans="1:21" ht="15.5" x14ac:dyDescent="0.35">
      <c r="A234" s="64">
        <v>2025</v>
      </c>
      <c r="B234" s="64">
        <v>3</v>
      </c>
      <c r="C234" s="65">
        <v>45839</v>
      </c>
      <c r="D234" s="65">
        <v>45930</v>
      </c>
      <c r="E234" s="72">
        <v>0</v>
      </c>
      <c r="F234" s="73"/>
      <c r="G234" s="73">
        <f t="shared" si="201"/>
        <v>119543</v>
      </c>
      <c r="H234" s="73">
        <f t="shared" si="202"/>
        <v>119543</v>
      </c>
      <c r="I234" s="128">
        <f t="shared" si="197"/>
        <v>1</v>
      </c>
      <c r="J234" s="75">
        <v>0</v>
      </c>
      <c r="K234" s="77"/>
      <c r="L234" s="77">
        <f t="shared" si="206"/>
        <v>6000</v>
      </c>
      <c r="M234" s="77">
        <f t="shared" si="203"/>
        <v>6000</v>
      </c>
      <c r="N234" s="78">
        <f t="shared" si="204"/>
        <v>1</v>
      </c>
      <c r="O234" s="75">
        <v>0</v>
      </c>
      <c r="P234" s="77"/>
      <c r="Q234" s="77">
        <f t="shared" si="192"/>
        <v>0</v>
      </c>
      <c r="R234" s="77">
        <f t="shared" si="193"/>
        <v>0</v>
      </c>
      <c r="S234" s="78" t="e">
        <f t="shared" si="207"/>
        <v>#DIV/0!</v>
      </c>
      <c r="T234" s="131"/>
      <c r="U234" s="130"/>
    </row>
    <row r="235" spans="1:21" ht="15.5" x14ac:dyDescent="0.35">
      <c r="A235" s="64">
        <v>2025</v>
      </c>
      <c r="B235" s="64">
        <v>4</v>
      </c>
      <c r="C235" s="65">
        <v>45931</v>
      </c>
      <c r="D235" s="65">
        <v>46022</v>
      </c>
      <c r="E235" s="72">
        <v>0</v>
      </c>
      <c r="F235" s="73"/>
      <c r="G235" s="73">
        <f t="shared" si="201"/>
        <v>119543</v>
      </c>
      <c r="H235" s="73">
        <f t="shared" si="202"/>
        <v>119543</v>
      </c>
      <c r="I235" s="128">
        <f t="shared" si="197"/>
        <v>1</v>
      </c>
      <c r="J235" s="75">
        <v>0</v>
      </c>
      <c r="K235" s="77"/>
      <c r="L235" s="77">
        <f t="shared" si="206"/>
        <v>6000</v>
      </c>
      <c r="M235" s="77">
        <f t="shared" si="203"/>
        <v>6000</v>
      </c>
      <c r="N235" s="78">
        <f t="shared" si="204"/>
        <v>1</v>
      </c>
      <c r="O235" s="75">
        <v>0</v>
      </c>
      <c r="P235" s="77"/>
      <c r="Q235" s="77">
        <f t="shared" si="192"/>
        <v>0</v>
      </c>
      <c r="R235" s="77">
        <f t="shared" si="193"/>
        <v>0</v>
      </c>
      <c r="S235" s="78" t="e">
        <f t="shared" si="207"/>
        <v>#DIV/0!</v>
      </c>
      <c r="T235" s="131"/>
      <c r="U235" s="130"/>
    </row>
    <row r="236" spans="1:21" ht="15.5" x14ac:dyDescent="0.35">
      <c r="A236" s="64">
        <v>2026</v>
      </c>
      <c r="B236" s="64">
        <v>1</v>
      </c>
      <c r="C236" s="65">
        <v>46023</v>
      </c>
      <c r="D236" s="65">
        <v>46112</v>
      </c>
      <c r="E236" s="72">
        <v>0</v>
      </c>
      <c r="F236" s="73"/>
      <c r="G236" s="73">
        <f t="shared" si="201"/>
        <v>119543</v>
      </c>
      <c r="H236" s="73">
        <f t="shared" si="202"/>
        <v>119543</v>
      </c>
      <c r="I236" s="128">
        <f>H236/G236</f>
        <v>1</v>
      </c>
      <c r="J236" s="75">
        <v>0</v>
      </c>
      <c r="K236" s="77"/>
      <c r="L236" s="77">
        <f t="shared" si="206"/>
        <v>6000</v>
      </c>
      <c r="M236" s="77">
        <f t="shared" si="203"/>
        <v>6000</v>
      </c>
      <c r="N236" s="78">
        <f t="shared" si="204"/>
        <v>1</v>
      </c>
      <c r="O236" s="75">
        <v>0</v>
      </c>
      <c r="P236" s="77"/>
      <c r="Q236" s="77">
        <f t="shared" si="192"/>
        <v>0</v>
      </c>
      <c r="R236" s="77">
        <f t="shared" si="193"/>
        <v>0</v>
      </c>
      <c r="S236" s="78" t="e">
        <f t="shared" si="207"/>
        <v>#DIV/0!</v>
      </c>
      <c r="T236" s="131"/>
      <c r="U236" s="130"/>
    </row>
    <row r="237" spans="1:21" ht="15.5" x14ac:dyDescent="0.35">
      <c r="A237" s="64">
        <v>2026</v>
      </c>
      <c r="B237" s="64">
        <v>2</v>
      </c>
      <c r="C237" s="65">
        <v>46113</v>
      </c>
      <c r="D237" s="65">
        <v>46203</v>
      </c>
      <c r="E237" s="72">
        <v>0</v>
      </c>
      <c r="F237" s="73"/>
      <c r="G237" s="73">
        <f t="shared" si="201"/>
        <v>119543</v>
      </c>
      <c r="H237" s="73">
        <f t="shared" si="202"/>
        <v>119543</v>
      </c>
      <c r="I237" s="128">
        <f t="shared" ref="I237:I238" si="208">H237/G237</f>
        <v>1</v>
      </c>
      <c r="J237" s="75">
        <v>0</v>
      </c>
      <c r="K237" s="77"/>
      <c r="L237" s="77">
        <f t="shared" si="206"/>
        <v>6000</v>
      </c>
      <c r="M237" s="77">
        <f t="shared" si="203"/>
        <v>6000</v>
      </c>
      <c r="N237" s="78">
        <f t="shared" si="204"/>
        <v>1</v>
      </c>
      <c r="O237" s="75">
        <v>0</v>
      </c>
      <c r="P237" s="77"/>
      <c r="Q237" s="77">
        <f t="shared" si="192"/>
        <v>0</v>
      </c>
      <c r="R237" s="77">
        <f t="shared" si="193"/>
        <v>0</v>
      </c>
      <c r="S237" s="78" t="e">
        <f t="shared" si="207"/>
        <v>#DIV/0!</v>
      </c>
      <c r="T237" s="131"/>
      <c r="U237" s="130"/>
    </row>
    <row r="238" spans="1:21" ht="15.5" x14ac:dyDescent="0.35">
      <c r="A238" s="64">
        <v>2026</v>
      </c>
      <c r="B238" s="64">
        <v>3</v>
      </c>
      <c r="C238" s="65">
        <v>46204</v>
      </c>
      <c r="D238" s="65">
        <v>46295</v>
      </c>
      <c r="E238" s="72">
        <v>0</v>
      </c>
      <c r="F238" s="73"/>
      <c r="G238" s="73">
        <f t="shared" si="201"/>
        <v>119543</v>
      </c>
      <c r="H238" s="73">
        <f>SUM(H237+F238)</f>
        <v>119543</v>
      </c>
      <c r="I238" s="128">
        <f t="shared" si="208"/>
        <v>1</v>
      </c>
      <c r="J238" s="75">
        <v>0</v>
      </c>
      <c r="K238" s="132"/>
      <c r="L238" s="132">
        <f t="shared" si="206"/>
        <v>6000</v>
      </c>
      <c r="M238" s="132">
        <f t="shared" si="203"/>
        <v>6000</v>
      </c>
      <c r="N238" s="78">
        <f t="shared" si="204"/>
        <v>1</v>
      </c>
      <c r="O238" s="75">
        <v>0</v>
      </c>
      <c r="P238" s="132"/>
      <c r="Q238" s="132">
        <f t="shared" si="192"/>
        <v>0</v>
      </c>
      <c r="R238" s="132">
        <f t="shared" si="193"/>
        <v>0</v>
      </c>
      <c r="S238" s="78" t="e">
        <f t="shared" si="207"/>
        <v>#DIV/0!</v>
      </c>
      <c r="T238" s="131"/>
      <c r="U238" s="130"/>
    </row>
    <row r="239" spans="1:21" ht="15" thickBot="1" x14ac:dyDescent="0.4">
      <c r="A239" s="133" t="s">
        <v>12</v>
      </c>
      <c r="B239" s="133"/>
      <c r="C239" s="133"/>
      <c r="D239" s="134"/>
      <c r="E239" s="135">
        <v>119543</v>
      </c>
      <c r="F239" s="136">
        <f>SUM(F215:F238)</f>
        <v>119543</v>
      </c>
      <c r="G239" s="136">
        <f>G238</f>
        <v>119543</v>
      </c>
      <c r="H239" s="137">
        <f>H238</f>
        <v>119543</v>
      </c>
      <c r="I239" s="189">
        <f>H239/G239</f>
        <v>1</v>
      </c>
      <c r="J239" s="138">
        <v>6000</v>
      </c>
      <c r="K239" s="139">
        <f>SUM(K215:K238)</f>
        <v>6000</v>
      </c>
      <c r="L239" s="140">
        <f>L238</f>
        <v>6000</v>
      </c>
      <c r="M239" s="141">
        <f>M238</f>
        <v>6000</v>
      </c>
      <c r="N239" s="142">
        <f>M239/L239</f>
        <v>1</v>
      </c>
      <c r="O239" s="138">
        <v>0</v>
      </c>
      <c r="P239" s="139">
        <f>SUM(P215:P238)</f>
        <v>0</v>
      </c>
      <c r="Q239" s="140">
        <f>Q238</f>
        <v>0</v>
      </c>
      <c r="R239" s="141">
        <f>R238</f>
        <v>0</v>
      </c>
      <c r="S239" s="142" t="e">
        <f t="shared" si="207"/>
        <v>#DIV/0!</v>
      </c>
      <c r="T239" s="143">
        <f>SUM(T215:T238)</f>
        <v>1</v>
      </c>
      <c r="U239" s="143">
        <f>SUM(U215:U238)</f>
        <v>1</v>
      </c>
    </row>
    <row r="240" spans="1:21" ht="15" thickTop="1" x14ac:dyDescent="0.35">
      <c r="E240" s="33">
        <f>E239+J239+O239</f>
        <v>125543</v>
      </c>
    </row>
    <row r="242" spans="1:27" x14ac:dyDescent="0.35">
      <c r="A242" s="198" t="s">
        <v>70</v>
      </c>
      <c r="B242" s="198"/>
      <c r="C242" s="198"/>
      <c r="D242" s="198"/>
      <c r="E242" s="198"/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  <c r="R242" s="198"/>
      <c r="S242" s="198"/>
      <c r="T242" s="198"/>
      <c r="U242" s="198"/>
      <c r="V242" s="122"/>
      <c r="W242" s="122"/>
      <c r="X242" s="122"/>
      <c r="Y242" s="122"/>
      <c r="Z242" s="122"/>
      <c r="AA242" s="122"/>
    </row>
    <row r="243" spans="1:27" ht="15" thickBot="1" x14ac:dyDescent="0.4">
      <c r="A243" s="202" t="s">
        <v>0</v>
      </c>
      <c r="B243" s="204"/>
      <c r="C243" s="204"/>
      <c r="D243" s="204"/>
      <c r="E243" s="193" t="s">
        <v>18</v>
      </c>
      <c r="F243" s="193"/>
      <c r="G243" s="193"/>
      <c r="H243" s="193"/>
      <c r="I243" s="194"/>
      <c r="J243" s="195" t="s">
        <v>17</v>
      </c>
      <c r="K243" s="196"/>
      <c r="L243" s="196"/>
      <c r="M243" s="196"/>
      <c r="N243" s="197"/>
      <c r="O243" s="205" t="s">
        <v>56</v>
      </c>
      <c r="P243" s="205"/>
      <c r="Q243" s="205"/>
      <c r="R243" s="205"/>
      <c r="S243" s="205"/>
      <c r="T243" s="204"/>
      <c r="U243" s="203"/>
    </row>
    <row r="244" spans="1:27" ht="44" thickTop="1" x14ac:dyDescent="0.35">
      <c r="A244" s="7" t="s">
        <v>1</v>
      </c>
      <c r="B244" s="7" t="s">
        <v>2</v>
      </c>
      <c r="C244" s="7" t="s">
        <v>3</v>
      </c>
      <c r="D244" s="9" t="s">
        <v>9</v>
      </c>
      <c r="E244" s="19" t="s">
        <v>4</v>
      </c>
      <c r="F244" s="20" t="s">
        <v>6</v>
      </c>
      <c r="G244" s="20" t="s">
        <v>5</v>
      </c>
      <c r="H244" s="20" t="s">
        <v>7</v>
      </c>
      <c r="I244" s="23" t="s">
        <v>8</v>
      </c>
      <c r="J244" s="25" t="s">
        <v>4</v>
      </c>
      <c r="K244" s="26" t="s">
        <v>6</v>
      </c>
      <c r="L244" s="26" t="s">
        <v>5</v>
      </c>
      <c r="M244" s="26" t="s">
        <v>7</v>
      </c>
      <c r="N244" s="27" t="s">
        <v>8</v>
      </c>
      <c r="O244" s="84" t="s">
        <v>4</v>
      </c>
      <c r="P244" s="85" t="s">
        <v>6</v>
      </c>
      <c r="Q244" s="85" t="s">
        <v>5</v>
      </c>
      <c r="R244" s="85" t="s">
        <v>7</v>
      </c>
      <c r="S244" s="86" t="s">
        <v>8</v>
      </c>
      <c r="T244" s="13" t="s">
        <v>10</v>
      </c>
      <c r="U244" s="8" t="s">
        <v>11</v>
      </c>
    </row>
    <row r="245" spans="1:27" ht="15.5" x14ac:dyDescent="0.35">
      <c r="A245" s="64">
        <v>2020</v>
      </c>
      <c r="B245" s="64">
        <v>4</v>
      </c>
      <c r="C245" s="65">
        <v>44105</v>
      </c>
      <c r="D245" s="65">
        <v>44196</v>
      </c>
      <c r="E245" s="66">
        <v>0</v>
      </c>
      <c r="F245" s="66">
        <v>0</v>
      </c>
      <c r="G245" s="66">
        <v>0</v>
      </c>
      <c r="H245" s="66">
        <v>0</v>
      </c>
      <c r="I245" s="67">
        <v>0</v>
      </c>
      <c r="J245" s="66">
        <v>0</v>
      </c>
      <c r="K245" s="66">
        <v>0</v>
      </c>
      <c r="L245" s="66">
        <v>0</v>
      </c>
      <c r="M245" s="66">
        <v>0</v>
      </c>
      <c r="N245" s="67">
        <v>0</v>
      </c>
      <c r="O245" s="66">
        <v>0</v>
      </c>
      <c r="P245" s="66">
        <v>0</v>
      </c>
      <c r="Q245" s="66">
        <v>0</v>
      </c>
      <c r="R245" s="66">
        <v>0</v>
      </c>
      <c r="S245" s="67">
        <v>0</v>
      </c>
      <c r="T245" s="68">
        <v>0</v>
      </c>
      <c r="U245" s="69">
        <v>0</v>
      </c>
    </row>
    <row r="246" spans="1:27" ht="15.5" x14ac:dyDescent="0.35">
      <c r="A246" s="64">
        <v>2021</v>
      </c>
      <c r="B246" s="64">
        <v>1</v>
      </c>
      <c r="C246" s="65">
        <v>44197</v>
      </c>
      <c r="D246" s="65">
        <v>44286</v>
      </c>
      <c r="E246" s="66">
        <v>0</v>
      </c>
      <c r="F246" s="66">
        <v>0</v>
      </c>
      <c r="G246" s="66">
        <v>0</v>
      </c>
      <c r="H246" s="66">
        <v>0</v>
      </c>
      <c r="I246" s="67">
        <v>0</v>
      </c>
      <c r="J246" s="66">
        <v>0</v>
      </c>
      <c r="K246" s="66">
        <v>0</v>
      </c>
      <c r="L246" s="66">
        <v>0</v>
      </c>
      <c r="M246" s="66">
        <v>0</v>
      </c>
      <c r="N246" s="67">
        <v>0</v>
      </c>
      <c r="O246" s="66">
        <v>0</v>
      </c>
      <c r="P246" s="66">
        <v>0</v>
      </c>
      <c r="Q246" s="66">
        <v>0</v>
      </c>
      <c r="R246" s="66">
        <v>0</v>
      </c>
      <c r="S246" s="67">
        <v>0</v>
      </c>
      <c r="T246" s="68">
        <v>0</v>
      </c>
      <c r="U246" s="69">
        <v>0</v>
      </c>
    </row>
    <row r="247" spans="1:27" ht="15.5" x14ac:dyDescent="0.35">
      <c r="A247" s="89">
        <v>2021</v>
      </c>
      <c r="B247" s="89">
        <v>2</v>
      </c>
      <c r="C247" s="90">
        <v>44287</v>
      </c>
      <c r="D247" s="90">
        <v>44377</v>
      </c>
      <c r="E247" s="72">
        <v>0</v>
      </c>
      <c r="F247" s="73">
        <v>0</v>
      </c>
      <c r="G247" s="73">
        <f>E247</f>
        <v>0</v>
      </c>
      <c r="H247" s="73">
        <f>SUM(F247+0)</f>
        <v>0</v>
      </c>
      <c r="I247" s="74">
        <v>0</v>
      </c>
      <c r="J247" s="75">
        <v>0</v>
      </c>
      <c r="K247" s="76">
        <v>0</v>
      </c>
      <c r="L247" s="77">
        <f>J247</f>
        <v>0</v>
      </c>
      <c r="M247" s="76">
        <f>SUM(K247+0)</f>
        <v>0</v>
      </c>
      <c r="N247" s="78">
        <v>0</v>
      </c>
      <c r="O247" s="102">
        <v>0</v>
      </c>
      <c r="P247" s="103">
        <v>0</v>
      </c>
      <c r="Q247" s="104">
        <f>O247</f>
        <v>0</v>
      </c>
      <c r="R247" s="103">
        <f>SUM(P247+0)</f>
        <v>0</v>
      </c>
      <c r="S247" s="105">
        <v>0</v>
      </c>
      <c r="T247" s="68">
        <v>0</v>
      </c>
      <c r="U247" s="69">
        <v>0</v>
      </c>
    </row>
    <row r="248" spans="1:27" ht="15.5" x14ac:dyDescent="0.35">
      <c r="A248" s="64">
        <v>2021</v>
      </c>
      <c r="B248" s="64">
        <v>3</v>
      </c>
      <c r="C248" s="65">
        <v>44378</v>
      </c>
      <c r="D248" s="65">
        <v>44469</v>
      </c>
      <c r="E248" s="72"/>
      <c r="F248" s="73"/>
      <c r="G248" s="73">
        <f t="shared" ref="G248:G249" si="209">G247+E248</f>
        <v>0</v>
      </c>
      <c r="H248" s="73">
        <f t="shared" ref="H248:H252" si="210">SUM(H247+F248)</f>
        <v>0</v>
      </c>
      <c r="I248" s="74">
        <v>0</v>
      </c>
      <c r="J248" s="75">
        <v>0</v>
      </c>
      <c r="K248" s="76"/>
      <c r="L248" s="76">
        <f>L247+J248</f>
        <v>0</v>
      </c>
      <c r="M248" s="76">
        <f>SUM(M247+K248)</f>
        <v>0</v>
      </c>
      <c r="N248" s="78">
        <v>0</v>
      </c>
      <c r="O248" s="75">
        <v>0</v>
      </c>
      <c r="P248" s="76"/>
      <c r="Q248" s="76">
        <f t="shared" ref="Q248:Q268" si="211">Q247+O248</f>
        <v>0</v>
      </c>
      <c r="R248" s="76">
        <f t="shared" ref="R248:R268" si="212">SUM(R247+P248)</f>
        <v>0</v>
      </c>
      <c r="S248" s="78">
        <v>0</v>
      </c>
      <c r="T248" s="68">
        <v>0</v>
      </c>
      <c r="U248" s="69">
        <v>0</v>
      </c>
    </row>
    <row r="249" spans="1:27" ht="15.5" x14ac:dyDescent="0.35">
      <c r="A249" s="64">
        <v>2022</v>
      </c>
      <c r="B249" s="64">
        <v>4</v>
      </c>
      <c r="C249" s="65">
        <v>44470</v>
      </c>
      <c r="D249" s="65">
        <v>44561</v>
      </c>
      <c r="E249" s="72">
        <v>0</v>
      </c>
      <c r="F249" s="73">
        <v>0</v>
      </c>
      <c r="G249" s="73">
        <f t="shared" si="209"/>
        <v>0</v>
      </c>
      <c r="H249" s="73">
        <f t="shared" si="210"/>
        <v>0</v>
      </c>
      <c r="I249" s="74">
        <v>0</v>
      </c>
      <c r="J249" s="75">
        <v>0</v>
      </c>
      <c r="K249" s="76">
        <v>0</v>
      </c>
      <c r="L249" s="76">
        <f t="shared" ref="L249:L252" si="213">L248+J249</f>
        <v>0</v>
      </c>
      <c r="M249" s="76">
        <f t="shared" ref="M249:M251" si="214">SUM(M248+K249)</f>
        <v>0</v>
      </c>
      <c r="N249" s="78">
        <v>0</v>
      </c>
      <c r="O249" s="75">
        <v>0</v>
      </c>
      <c r="P249" s="76">
        <v>0</v>
      </c>
      <c r="Q249" s="76">
        <f t="shared" si="211"/>
        <v>0</v>
      </c>
      <c r="R249" s="76">
        <f t="shared" si="212"/>
        <v>0</v>
      </c>
      <c r="S249" s="78">
        <v>0</v>
      </c>
      <c r="T249" s="68">
        <v>0</v>
      </c>
      <c r="U249" s="69">
        <v>0</v>
      </c>
    </row>
    <row r="250" spans="1:27" ht="15.5" x14ac:dyDescent="0.35">
      <c r="A250" s="64">
        <v>2022</v>
      </c>
      <c r="B250" s="64">
        <v>1</v>
      </c>
      <c r="C250" s="65">
        <v>44562</v>
      </c>
      <c r="D250" s="65">
        <v>44651</v>
      </c>
      <c r="E250" s="72">
        <v>0</v>
      </c>
      <c r="F250" s="73">
        <v>0</v>
      </c>
      <c r="G250" s="73">
        <f>G249+E250</f>
        <v>0</v>
      </c>
      <c r="H250" s="73">
        <f t="shared" si="210"/>
        <v>0</v>
      </c>
      <c r="I250" s="74">
        <v>0</v>
      </c>
      <c r="J250" s="75">
        <v>0</v>
      </c>
      <c r="K250" s="76">
        <v>0</v>
      </c>
      <c r="L250" s="76">
        <f t="shared" si="213"/>
        <v>0</v>
      </c>
      <c r="M250" s="76">
        <f t="shared" si="214"/>
        <v>0</v>
      </c>
      <c r="N250" s="78">
        <v>0</v>
      </c>
      <c r="O250" s="75">
        <v>0</v>
      </c>
      <c r="P250" s="76">
        <v>0</v>
      </c>
      <c r="Q250" s="76">
        <f t="shared" si="211"/>
        <v>0</v>
      </c>
      <c r="R250" s="76">
        <f t="shared" si="212"/>
        <v>0</v>
      </c>
      <c r="S250" s="78">
        <v>0</v>
      </c>
      <c r="T250" s="68">
        <v>0</v>
      </c>
      <c r="U250" s="69">
        <v>0</v>
      </c>
    </row>
    <row r="251" spans="1:27" ht="15.5" x14ac:dyDescent="0.35">
      <c r="A251" s="64">
        <v>2022</v>
      </c>
      <c r="B251" s="64">
        <v>2</v>
      </c>
      <c r="C251" s="65">
        <v>44652</v>
      </c>
      <c r="D251" s="65">
        <v>44742</v>
      </c>
      <c r="E251" s="72">
        <f>$E$269/9</f>
        <v>13282.555555555555</v>
      </c>
      <c r="F251" s="73">
        <v>0</v>
      </c>
      <c r="G251" s="73">
        <f t="shared" ref="G251:G252" si="215">G250+E251</f>
        <v>13282.555555555555</v>
      </c>
      <c r="H251" s="73">
        <f t="shared" si="210"/>
        <v>0</v>
      </c>
      <c r="I251" s="74">
        <f t="shared" ref="I251:I265" si="216">H251/G251</f>
        <v>0</v>
      </c>
      <c r="J251" s="75">
        <f>$J$269/9</f>
        <v>666.66666666666663</v>
      </c>
      <c r="K251" s="76">
        <v>0</v>
      </c>
      <c r="L251" s="76">
        <f t="shared" si="213"/>
        <v>666.66666666666663</v>
      </c>
      <c r="M251" s="76">
        <f t="shared" si="214"/>
        <v>0</v>
      </c>
      <c r="N251" s="78">
        <f t="shared" ref="N251:N252" si="217">M251/L251</f>
        <v>0</v>
      </c>
      <c r="O251" s="75">
        <v>0</v>
      </c>
      <c r="P251" s="76">
        <v>0</v>
      </c>
      <c r="Q251" s="76">
        <f t="shared" si="211"/>
        <v>0</v>
      </c>
      <c r="R251" s="76">
        <f t="shared" si="212"/>
        <v>0</v>
      </c>
      <c r="S251" s="78">
        <v>0</v>
      </c>
      <c r="T251" s="68">
        <v>0</v>
      </c>
      <c r="U251" s="69">
        <v>0</v>
      </c>
    </row>
    <row r="252" spans="1:27" ht="15.5" x14ac:dyDescent="0.35">
      <c r="A252" s="64">
        <v>2022</v>
      </c>
      <c r="B252" s="64">
        <v>3</v>
      </c>
      <c r="C252" s="65">
        <v>44743</v>
      </c>
      <c r="D252" s="65">
        <v>44834</v>
      </c>
      <c r="E252" s="72">
        <f t="shared" ref="E252:E259" si="218">$E$269/9</f>
        <v>13282.555555555555</v>
      </c>
      <c r="F252" s="73">
        <v>0</v>
      </c>
      <c r="G252" s="73">
        <f t="shared" si="215"/>
        <v>26565.111111111109</v>
      </c>
      <c r="H252" s="73">
        <f t="shared" si="210"/>
        <v>0</v>
      </c>
      <c r="I252" s="74">
        <f t="shared" si="216"/>
        <v>0</v>
      </c>
      <c r="J252" s="75">
        <f t="shared" ref="J252:J259" si="219">$J$269/9</f>
        <v>666.66666666666663</v>
      </c>
      <c r="K252" s="76">
        <v>1939</v>
      </c>
      <c r="L252" s="76">
        <f t="shared" si="213"/>
        <v>1333.3333333333333</v>
      </c>
      <c r="M252" s="76">
        <f>SUM(M251+K252)</f>
        <v>1939</v>
      </c>
      <c r="N252" s="78">
        <f t="shared" si="217"/>
        <v>1.45425</v>
      </c>
      <c r="O252" s="75">
        <v>0</v>
      </c>
      <c r="P252" s="76">
        <v>0</v>
      </c>
      <c r="Q252" s="76">
        <f t="shared" si="211"/>
        <v>0</v>
      </c>
      <c r="R252" s="76">
        <f t="shared" si="212"/>
        <v>0</v>
      </c>
      <c r="S252" s="78">
        <v>0</v>
      </c>
      <c r="T252" s="68">
        <v>0</v>
      </c>
      <c r="U252" s="69">
        <v>0</v>
      </c>
    </row>
    <row r="253" spans="1:27" ht="15.5" x14ac:dyDescent="0.35">
      <c r="A253" s="64">
        <v>2022</v>
      </c>
      <c r="B253" s="64">
        <v>4</v>
      </c>
      <c r="C253" s="65">
        <v>44835</v>
      </c>
      <c r="D253" s="65">
        <v>44926</v>
      </c>
      <c r="E253" s="72">
        <f t="shared" si="218"/>
        <v>13282.555555555555</v>
      </c>
      <c r="F253" s="73">
        <v>0</v>
      </c>
      <c r="G253" s="73">
        <f>G252+E253</f>
        <v>39847.666666666664</v>
      </c>
      <c r="H253" s="73">
        <f>SUM(H252+F253)</f>
        <v>0</v>
      </c>
      <c r="I253" s="74">
        <f t="shared" si="216"/>
        <v>0</v>
      </c>
      <c r="J253" s="75">
        <f t="shared" si="219"/>
        <v>666.66666666666663</v>
      </c>
      <c r="K253" s="76"/>
      <c r="L253" s="76">
        <f>L252+J253</f>
        <v>2000</v>
      </c>
      <c r="M253" s="76">
        <f>SUM(M252+K253)</f>
        <v>1939</v>
      </c>
      <c r="N253" s="78">
        <f>M253/L253</f>
        <v>0.96950000000000003</v>
      </c>
      <c r="O253" s="75">
        <v>0</v>
      </c>
      <c r="P253" s="76">
        <v>0</v>
      </c>
      <c r="Q253" s="76">
        <f t="shared" si="211"/>
        <v>0</v>
      </c>
      <c r="R253" s="76">
        <f t="shared" si="212"/>
        <v>0</v>
      </c>
      <c r="S253" s="78">
        <v>0</v>
      </c>
      <c r="T253" s="68">
        <v>0</v>
      </c>
      <c r="U253" s="69">
        <v>0</v>
      </c>
    </row>
    <row r="254" spans="1:27" ht="15.5" x14ac:dyDescent="0.35">
      <c r="A254" s="64">
        <v>2023</v>
      </c>
      <c r="B254" s="64">
        <v>1</v>
      </c>
      <c r="C254" s="65">
        <v>44927</v>
      </c>
      <c r="D254" s="65">
        <v>45016</v>
      </c>
      <c r="E254" s="72">
        <f t="shared" si="218"/>
        <v>13282.555555555555</v>
      </c>
      <c r="F254" s="73">
        <v>107415</v>
      </c>
      <c r="G254" s="73">
        <f t="shared" ref="G254:G268" si="220">G253+E254</f>
        <v>53130.222222222219</v>
      </c>
      <c r="H254" s="73">
        <f t="shared" ref="H254:H267" si="221">SUM(H253+F254)</f>
        <v>107415</v>
      </c>
      <c r="I254" s="74">
        <f t="shared" si="216"/>
        <v>2.0217306743180279</v>
      </c>
      <c r="J254" s="75">
        <f t="shared" si="219"/>
        <v>666.66666666666663</v>
      </c>
      <c r="K254" s="76">
        <v>834</v>
      </c>
      <c r="L254" s="76">
        <f>L253+J254</f>
        <v>2666.6666666666665</v>
      </c>
      <c r="M254" s="76">
        <f t="shared" ref="M254:M268" si="222">SUM(M253+K254)</f>
        <v>2773</v>
      </c>
      <c r="N254" s="78">
        <f t="shared" ref="N254:N268" si="223">M254/L254</f>
        <v>1.0398750000000001</v>
      </c>
      <c r="O254" s="75">
        <v>0</v>
      </c>
      <c r="P254" s="76">
        <v>0</v>
      </c>
      <c r="Q254" s="76">
        <f t="shared" si="211"/>
        <v>0</v>
      </c>
      <c r="R254" s="76">
        <f t="shared" si="212"/>
        <v>0</v>
      </c>
      <c r="S254" s="78">
        <v>0</v>
      </c>
      <c r="T254" s="68">
        <v>0</v>
      </c>
      <c r="U254" s="69">
        <v>0</v>
      </c>
    </row>
    <row r="255" spans="1:27" ht="15.5" x14ac:dyDescent="0.35">
      <c r="A255" s="64">
        <v>2023</v>
      </c>
      <c r="B255" s="64">
        <v>2</v>
      </c>
      <c r="C255" s="65">
        <v>45017</v>
      </c>
      <c r="D255" s="65">
        <v>45107</v>
      </c>
      <c r="E255" s="72">
        <f t="shared" si="218"/>
        <v>13282.555555555555</v>
      </c>
      <c r="F255" s="73">
        <v>0</v>
      </c>
      <c r="G255" s="73">
        <f t="shared" si="220"/>
        <v>66412.777777777781</v>
      </c>
      <c r="H255" s="73">
        <f t="shared" si="221"/>
        <v>107415</v>
      </c>
      <c r="I255" s="74">
        <f t="shared" si="216"/>
        <v>1.6173845394544222</v>
      </c>
      <c r="J255" s="75">
        <f t="shared" si="219"/>
        <v>666.66666666666663</v>
      </c>
      <c r="K255" s="76">
        <v>0</v>
      </c>
      <c r="L255" s="76">
        <f t="shared" ref="L255" si="224">L254+J255</f>
        <v>3333.333333333333</v>
      </c>
      <c r="M255" s="76">
        <f t="shared" si="222"/>
        <v>2773</v>
      </c>
      <c r="N255" s="78">
        <f t="shared" si="223"/>
        <v>0.83190000000000008</v>
      </c>
      <c r="O255" s="75">
        <v>0</v>
      </c>
      <c r="P255" s="76">
        <v>0</v>
      </c>
      <c r="Q255" s="76">
        <f t="shared" si="211"/>
        <v>0</v>
      </c>
      <c r="R255" s="76">
        <f t="shared" si="212"/>
        <v>0</v>
      </c>
      <c r="S255" s="78">
        <v>0</v>
      </c>
      <c r="T255" s="68">
        <v>0</v>
      </c>
      <c r="U255" s="69">
        <v>0</v>
      </c>
    </row>
    <row r="256" spans="1:27" ht="15.5" x14ac:dyDescent="0.35">
      <c r="A256" s="64">
        <v>2023</v>
      </c>
      <c r="B256" s="64">
        <v>3</v>
      </c>
      <c r="C256" s="65">
        <v>45108</v>
      </c>
      <c r="D256" s="65">
        <v>45199</v>
      </c>
      <c r="E256" s="72">
        <f t="shared" si="218"/>
        <v>13282.555555555555</v>
      </c>
      <c r="F256" s="73">
        <v>0</v>
      </c>
      <c r="G256" s="73">
        <f t="shared" si="220"/>
        <v>79695.333333333343</v>
      </c>
      <c r="H256" s="73">
        <f t="shared" si="221"/>
        <v>107415</v>
      </c>
      <c r="I256" s="74">
        <f t="shared" si="216"/>
        <v>1.3478204495453516</v>
      </c>
      <c r="J256" s="75">
        <f t="shared" si="219"/>
        <v>666.66666666666663</v>
      </c>
      <c r="K256" s="76"/>
      <c r="L256" s="76">
        <f>L255+J256</f>
        <v>3999.9999999999995</v>
      </c>
      <c r="M256" s="76">
        <f t="shared" si="222"/>
        <v>2773</v>
      </c>
      <c r="N256" s="78">
        <f t="shared" si="223"/>
        <v>0.69325000000000003</v>
      </c>
      <c r="O256" s="75">
        <v>0</v>
      </c>
      <c r="P256" s="76">
        <v>0</v>
      </c>
      <c r="Q256" s="76">
        <f t="shared" si="211"/>
        <v>0</v>
      </c>
      <c r="R256" s="76">
        <f t="shared" si="212"/>
        <v>0</v>
      </c>
      <c r="S256" s="78">
        <v>0</v>
      </c>
      <c r="T256" s="68">
        <v>0</v>
      </c>
      <c r="U256" s="69">
        <v>0</v>
      </c>
    </row>
    <row r="257" spans="1:31" ht="15.5" x14ac:dyDescent="0.35">
      <c r="A257" s="64">
        <v>2023</v>
      </c>
      <c r="B257" s="64">
        <v>4</v>
      </c>
      <c r="C257" s="65">
        <v>45200</v>
      </c>
      <c r="D257" s="65">
        <v>45291</v>
      </c>
      <c r="E257" s="72">
        <f t="shared" si="218"/>
        <v>13282.555555555555</v>
      </c>
      <c r="F257" s="73">
        <v>0</v>
      </c>
      <c r="G257" s="73">
        <f t="shared" si="220"/>
        <v>92977.888888888905</v>
      </c>
      <c r="H257" s="73">
        <f t="shared" si="221"/>
        <v>107415</v>
      </c>
      <c r="I257" s="74">
        <f t="shared" si="216"/>
        <v>1.1552746710388728</v>
      </c>
      <c r="J257" s="75">
        <f t="shared" si="219"/>
        <v>666.66666666666663</v>
      </c>
      <c r="K257" s="76"/>
      <c r="L257" s="76">
        <f t="shared" ref="L257:L268" si="225">L256+J257</f>
        <v>4666.6666666666661</v>
      </c>
      <c r="M257" s="76">
        <f t="shared" si="222"/>
        <v>2773</v>
      </c>
      <c r="N257" s="78">
        <f t="shared" si="223"/>
        <v>0.59421428571428581</v>
      </c>
      <c r="O257" s="75">
        <v>0</v>
      </c>
      <c r="P257" s="76">
        <v>0</v>
      </c>
      <c r="Q257" s="76">
        <f t="shared" si="211"/>
        <v>0</v>
      </c>
      <c r="R257" s="76">
        <f t="shared" si="212"/>
        <v>0</v>
      </c>
      <c r="S257" s="78">
        <v>0</v>
      </c>
      <c r="T257" s="68">
        <v>0</v>
      </c>
      <c r="U257" s="69">
        <v>0</v>
      </c>
    </row>
    <row r="258" spans="1:31" ht="15.5" x14ac:dyDescent="0.35">
      <c r="A258" s="64">
        <v>2024</v>
      </c>
      <c r="B258" s="64">
        <v>1</v>
      </c>
      <c r="C258" s="65">
        <v>45292</v>
      </c>
      <c r="D258" s="65">
        <v>45382</v>
      </c>
      <c r="E258" s="72">
        <f t="shared" si="218"/>
        <v>13282.555555555555</v>
      </c>
      <c r="F258" s="73">
        <v>0</v>
      </c>
      <c r="G258" s="73">
        <f t="shared" si="220"/>
        <v>106260.44444444447</v>
      </c>
      <c r="H258" s="73">
        <f t="shared" si="221"/>
        <v>107415</v>
      </c>
      <c r="I258" s="74">
        <f t="shared" si="216"/>
        <v>1.0108653371590137</v>
      </c>
      <c r="J258" s="75">
        <f t="shared" si="219"/>
        <v>666.66666666666663</v>
      </c>
      <c r="K258" s="76">
        <v>0</v>
      </c>
      <c r="L258" s="76">
        <f t="shared" si="225"/>
        <v>5333.333333333333</v>
      </c>
      <c r="M258" s="76">
        <f t="shared" si="222"/>
        <v>2773</v>
      </c>
      <c r="N258" s="78">
        <f t="shared" si="223"/>
        <v>0.51993750000000005</v>
      </c>
      <c r="O258" s="75">
        <v>0</v>
      </c>
      <c r="P258" s="76">
        <v>0</v>
      </c>
      <c r="Q258" s="76">
        <f t="shared" si="211"/>
        <v>0</v>
      </c>
      <c r="R258" s="76">
        <f t="shared" si="212"/>
        <v>0</v>
      </c>
      <c r="S258" s="78">
        <v>0</v>
      </c>
      <c r="T258" s="68">
        <v>0</v>
      </c>
      <c r="U258" s="69">
        <v>1</v>
      </c>
    </row>
    <row r="259" spans="1:31" ht="15.5" x14ac:dyDescent="0.35">
      <c r="A259" s="64">
        <v>2024</v>
      </c>
      <c r="B259" s="64">
        <v>2</v>
      </c>
      <c r="C259" s="65">
        <v>45383</v>
      </c>
      <c r="D259" s="65">
        <v>45473</v>
      </c>
      <c r="E259" s="72">
        <f t="shared" si="218"/>
        <v>13282.555555555555</v>
      </c>
      <c r="F259" s="73"/>
      <c r="G259" s="73">
        <f t="shared" si="220"/>
        <v>119543.00000000003</v>
      </c>
      <c r="H259" s="73">
        <f t="shared" si="221"/>
        <v>107415</v>
      </c>
      <c r="I259" s="74">
        <f t="shared" si="216"/>
        <v>0.89854696636356768</v>
      </c>
      <c r="J259" s="75">
        <f t="shared" si="219"/>
        <v>666.66666666666663</v>
      </c>
      <c r="K259" s="76"/>
      <c r="L259" s="76">
        <f t="shared" si="225"/>
        <v>6000</v>
      </c>
      <c r="M259" s="76">
        <f t="shared" si="222"/>
        <v>2773</v>
      </c>
      <c r="N259" s="78">
        <f t="shared" si="223"/>
        <v>0.46216666666666667</v>
      </c>
      <c r="O259" s="75">
        <v>19718</v>
      </c>
      <c r="P259" s="76">
        <v>0</v>
      </c>
      <c r="Q259" s="76">
        <f t="shared" si="211"/>
        <v>19718</v>
      </c>
      <c r="R259" s="76">
        <f t="shared" si="212"/>
        <v>0</v>
      </c>
      <c r="S259" s="78">
        <f t="shared" ref="S259:S269" si="226">R259/Q259</f>
        <v>0</v>
      </c>
      <c r="T259" s="68">
        <v>1</v>
      </c>
      <c r="U259" s="69">
        <v>0</v>
      </c>
    </row>
    <row r="260" spans="1:31" ht="15.5" x14ac:dyDescent="0.35">
      <c r="A260" s="64">
        <v>2024</v>
      </c>
      <c r="B260" s="64">
        <v>3</v>
      </c>
      <c r="C260" s="65">
        <v>45474</v>
      </c>
      <c r="D260" s="65">
        <v>45565</v>
      </c>
      <c r="E260" s="72">
        <v>0</v>
      </c>
      <c r="F260" s="73">
        <f>173.7+11954.3</f>
        <v>12128</v>
      </c>
      <c r="G260" s="73">
        <f t="shared" si="220"/>
        <v>119543.00000000003</v>
      </c>
      <c r="H260" s="73">
        <f t="shared" si="221"/>
        <v>119543</v>
      </c>
      <c r="I260" s="128">
        <f t="shared" si="216"/>
        <v>0.99999999999999978</v>
      </c>
      <c r="J260" s="75">
        <v>0</v>
      </c>
      <c r="K260" s="77">
        <v>3227</v>
      </c>
      <c r="L260" s="77">
        <f t="shared" si="225"/>
        <v>6000</v>
      </c>
      <c r="M260" s="77">
        <f t="shared" si="222"/>
        <v>6000</v>
      </c>
      <c r="N260" s="78">
        <f t="shared" si="223"/>
        <v>1</v>
      </c>
      <c r="O260" s="75">
        <v>0</v>
      </c>
      <c r="P260" s="77">
        <v>19718</v>
      </c>
      <c r="Q260" s="77">
        <f t="shared" si="211"/>
        <v>19718</v>
      </c>
      <c r="R260" s="77">
        <f t="shared" si="212"/>
        <v>19718</v>
      </c>
      <c r="S260" s="78">
        <f t="shared" si="226"/>
        <v>1</v>
      </c>
      <c r="T260" s="131"/>
      <c r="U260" s="130"/>
    </row>
    <row r="261" spans="1:31" ht="15.5" x14ac:dyDescent="0.35">
      <c r="A261" s="64">
        <v>2024</v>
      </c>
      <c r="B261" s="64">
        <v>4</v>
      </c>
      <c r="C261" s="65">
        <v>45566</v>
      </c>
      <c r="D261" s="65">
        <v>45657</v>
      </c>
      <c r="E261" s="72">
        <v>0</v>
      </c>
      <c r="F261" s="73"/>
      <c r="G261" s="73">
        <f t="shared" si="220"/>
        <v>119543.00000000003</v>
      </c>
      <c r="H261" s="73">
        <f t="shared" si="221"/>
        <v>119543</v>
      </c>
      <c r="I261" s="128">
        <f t="shared" si="216"/>
        <v>0.99999999999999978</v>
      </c>
      <c r="J261" s="75">
        <v>0</v>
      </c>
      <c r="K261" s="77"/>
      <c r="L261" s="77">
        <f t="shared" si="225"/>
        <v>6000</v>
      </c>
      <c r="M261" s="77">
        <f t="shared" si="222"/>
        <v>6000</v>
      </c>
      <c r="N261" s="78">
        <f t="shared" si="223"/>
        <v>1</v>
      </c>
      <c r="O261" s="75">
        <v>0</v>
      </c>
      <c r="P261" s="77"/>
      <c r="Q261" s="77">
        <f t="shared" si="211"/>
        <v>19718</v>
      </c>
      <c r="R261" s="77">
        <f t="shared" si="212"/>
        <v>19718</v>
      </c>
      <c r="S261" s="78">
        <f t="shared" si="226"/>
        <v>1</v>
      </c>
      <c r="T261" s="131"/>
      <c r="U261" s="130"/>
    </row>
    <row r="262" spans="1:31" ht="15.5" x14ac:dyDescent="0.35">
      <c r="A262" s="64">
        <v>2025</v>
      </c>
      <c r="B262" s="64">
        <v>1</v>
      </c>
      <c r="C262" s="65">
        <v>45658</v>
      </c>
      <c r="D262" s="65">
        <v>45747</v>
      </c>
      <c r="E262" s="72">
        <v>0</v>
      </c>
      <c r="F262" s="73"/>
      <c r="G262" s="73">
        <f t="shared" si="220"/>
        <v>119543.00000000003</v>
      </c>
      <c r="H262" s="73">
        <f t="shared" si="221"/>
        <v>119543</v>
      </c>
      <c r="I262" s="128">
        <f t="shared" si="216"/>
        <v>0.99999999999999978</v>
      </c>
      <c r="J262" s="75">
        <v>0</v>
      </c>
      <c r="K262" s="77"/>
      <c r="L262" s="77">
        <f t="shared" si="225"/>
        <v>6000</v>
      </c>
      <c r="M262" s="77">
        <f t="shared" si="222"/>
        <v>6000</v>
      </c>
      <c r="N262" s="78">
        <f t="shared" si="223"/>
        <v>1</v>
      </c>
      <c r="O262" s="75">
        <v>0</v>
      </c>
      <c r="P262" s="77"/>
      <c r="Q262" s="77">
        <f t="shared" si="211"/>
        <v>19718</v>
      </c>
      <c r="R262" s="77">
        <f t="shared" si="212"/>
        <v>19718</v>
      </c>
      <c r="S262" s="78">
        <f t="shared" si="226"/>
        <v>1</v>
      </c>
      <c r="T262" s="131"/>
      <c r="U262" s="130"/>
    </row>
    <row r="263" spans="1:31" ht="15.5" x14ac:dyDescent="0.35">
      <c r="A263" s="64">
        <v>2025</v>
      </c>
      <c r="B263" s="64">
        <v>2</v>
      </c>
      <c r="C263" s="65">
        <v>45748</v>
      </c>
      <c r="D263" s="65">
        <v>45838</v>
      </c>
      <c r="E263" s="72">
        <v>0</v>
      </c>
      <c r="F263" s="73"/>
      <c r="G263" s="73">
        <f t="shared" si="220"/>
        <v>119543.00000000003</v>
      </c>
      <c r="H263" s="73">
        <f t="shared" si="221"/>
        <v>119543</v>
      </c>
      <c r="I263" s="128">
        <f t="shared" si="216"/>
        <v>0.99999999999999978</v>
      </c>
      <c r="J263" s="75">
        <v>0</v>
      </c>
      <c r="K263" s="77"/>
      <c r="L263" s="77">
        <f t="shared" si="225"/>
        <v>6000</v>
      </c>
      <c r="M263" s="77">
        <f t="shared" si="222"/>
        <v>6000</v>
      </c>
      <c r="N263" s="78">
        <f t="shared" si="223"/>
        <v>1</v>
      </c>
      <c r="O263" s="75">
        <v>0</v>
      </c>
      <c r="P263" s="77"/>
      <c r="Q263" s="77">
        <f t="shared" si="211"/>
        <v>19718</v>
      </c>
      <c r="R263" s="77">
        <f t="shared" si="212"/>
        <v>19718</v>
      </c>
      <c r="S263" s="78">
        <f t="shared" si="226"/>
        <v>1</v>
      </c>
      <c r="T263" s="131"/>
      <c r="U263" s="130"/>
    </row>
    <row r="264" spans="1:31" ht="15.5" x14ac:dyDescent="0.35">
      <c r="A264" s="64">
        <v>2025</v>
      </c>
      <c r="B264" s="64">
        <v>3</v>
      </c>
      <c r="C264" s="65">
        <v>45839</v>
      </c>
      <c r="D264" s="65">
        <v>45930</v>
      </c>
      <c r="E264" s="72">
        <v>0</v>
      </c>
      <c r="F264" s="73"/>
      <c r="G264" s="73">
        <f t="shared" si="220"/>
        <v>119543.00000000003</v>
      </c>
      <c r="H264" s="73">
        <f t="shared" si="221"/>
        <v>119543</v>
      </c>
      <c r="I264" s="128">
        <f t="shared" si="216"/>
        <v>0.99999999999999978</v>
      </c>
      <c r="J264" s="75">
        <v>0</v>
      </c>
      <c r="K264" s="77"/>
      <c r="L264" s="77">
        <f t="shared" si="225"/>
        <v>6000</v>
      </c>
      <c r="M264" s="77">
        <f t="shared" si="222"/>
        <v>6000</v>
      </c>
      <c r="N264" s="78">
        <f t="shared" si="223"/>
        <v>1</v>
      </c>
      <c r="O264" s="75">
        <v>0</v>
      </c>
      <c r="P264" s="77"/>
      <c r="Q264" s="77">
        <f t="shared" si="211"/>
        <v>19718</v>
      </c>
      <c r="R264" s="77">
        <f t="shared" si="212"/>
        <v>19718</v>
      </c>
      <c r="S264" s="78">
        <f t="shared" si="226"/>
        <v>1</v>
      </c>
      <c r="T264" s="131"/>
      <c r="U264" s="130"/>
    </row>
    <row r="265" spans="1:31" ht="15.5" x14ac:dyDescent="0.35">
      <c r="A265" s="64">
        <v>2025</v>
      </c>
      <c r="B265" s="64">
        <v>4</v>
      </c>
      <c r="C265" s="65">
        <v>45931</v>
      </c>
      <c r="D265" s="65">
        <v>46022</v>
      </c>
      <c r="E265" s="72">
        <v>0</v>
      </c>
      <c r="F265" s="73"/>
      <c r="G265" s="73">
        <f t="shared" si="220"/>
        <v>119543.00000000003</v>
      </c>
      <c r="H265" s="73">
        <f t="shared" si="221"/>
        <v>119543</v>
      </c>
      <c r="I265" s="128">
        <f t="shared" si="216"/>
        <v>0.99999999999999978</v>
      </c>
      <c r="J265" s="75">
        <v>0</v>
      </c>
      <c r="K265" s="77"/>
      <c r="L265" s="77">
        <f t="shared" si="225"/>
        <v>6000</v>
      </c>
      <c r="M265" s="77">
        <f t="shared" si="222"/>
        <v>6000</v>
      </c>
      <c r="N265" s="78">
        <f t="shared" si="223"/>
        <v>1</v>
      </c>
      <c r="O265" s="75">
        <v>0</v>
      </c>
      <c r="P265" s="77"/>
      <c r="Q265" s="77">
        <f t="shared" si="211"/>
        <v>19718</v>
      </c>
      <c r="R265" s="77">
        <f t="shared" si="212"/>
        <v>19718</v>
      </c>
      <c r="S265" s="78">
        <f t="shared" si="226"/>
        <v>1</v>
      </c>
      <c r="T265" s="131"/>
      <c r="U265" s="130"/>
    </row>
    <row r="266" spans="1:31" ht="15.5" x14ac:dyDescent="0.35">
      <c r="A266" s="64">
        <v>2026</v>
      </c>
      <c r="B266" s="64">
        <v>1</v>
      </c>
      <c r="C266" s="65">
        <v>46023</v>
      </c>
      <c r="D266" s="65">
        <v>46112</v>
      </c>
      <c r="E266" s="72">
        <v>0</v>
      </c>
      <c r="F266" s="73"/>
      <c r="G266" s="73">
        <f t="shared" si="220"/>
        <v>119543.00000000003</v>
      </c>
      <c r="H266" s="73">
        <f t="shared" si="221"/>
        <v>119543</v>
      </c>
      <c r="I266" s="128">
        <f>H266/G266</f>
        <v>0.99999999999999978</v>
      </c>
      <c r="J266" s="75">
        <v>0</v>
      </c>
      <c r="K266" s="77"/>
      <c r="L266" s="77">
        <f t="shared" si="225"/>
        <v>6000</v>
      </c>
      <c r="M266" s="77">
        <f t="shared" si="222"/>
        <v>6000</v>
      </c>
      <c r="N266" s="78">
        <f t="shared" si="223"/>
        <v>1</v>
      </c>
      <c r="O266" s="75">
        <v>0</v>
      </c>
      <c r="P266" s="77"/>
      <c r="Q266" s="77">
        <f t="shared" si="211"/>
        <v>19718</v>
      </c>
      <c r="R266" s="77">
        <f t="shared" si="212"/>
        <v>19718</v>
      </c>
      <c r="S266" s="78">
        <f t="shared" si="226"/>
        <v>1</v>
      </c>
      <c r="T266" s="131"/>
      <c r="U266" s="130"/>
    </row>
    <row r="267" spans="1:31" ht="15.5" x14ac:dyDescent="0.35">
      <c r="A267" s="64">
        <v>2026</v>
      </c>
      <c r="B267" s="64">
        <v>2</v>
      </c>
      <c r="C267" s="65">
        <v>46113</v>
      </c>
      <c r="D267" s="65">
        <v>46203</v>
      </c>
      <c r="E267" s="72">
        <v>0</v>
      </c>
      <c r="F267" s="73"/>
      <c r="G267" s="73">
        <f t="shared" si="220"/>
        <v>119543.00000000003</v>
      </c>
      <c r="H267" s="73">
        <f t="shared" si="221"/>
        <v>119543</v>
      </c>
      <c r="I267" s="128">
        <f t="shared" ref="I267:I268" si="227">H267/G267</f>
        <v>0.99999999999999978</v>
      </c>
      <c r="J267" s="75">
        <v>0</v>
      </c>
      <c r="K267" s="77"/>
      <c r="L267" s="77">
        <f t="shared" si="225"/>
        <v>6000</v>
      </c>
      <c r="M267" s="77">
        <f t="shared" si="222"/>
        <v>6000</v>
      </c>
      <c r="N267" s="78">
        <f t="shared" si="223"/>
        <v>1</v>
      </c>
      <c r="O267" s="75">
        <v>0</v>
      </c>
      <c r="P267" s="77"/>
      <c r="Q267" s="77">
        <f t="shared" si="211"/>
        <v>19718</v>
      </c>
      <c r="R267" s="77">
        <f t="shared" si="212"/>
        <v>19718</v>
      </c>
      <c r="S267" s="78">
        <f t="shared" si="226"/>
        <v>1</v>
      </c>
      <c r="T267" s="131"/>
      <c r="U267" s="130"/>
    </row>
    <row r="268" spans="1:31" ht="15.5" x14ac:dyDescent="0.35">
      <c r="A268" s="64">
        <v>2026</v>
      </c>
      <c r="B268" s="64">
        <v>3</v>
      </c>
      <c r="C268" s="65">
        <v>46204</v>
      </c>
      <c r="D268" s="65">
        <v>46295</v>
      </c>
      <c r="E268" s="72">
        <v>0</v>
      </c>
      <c r="F268" s="73"/>
      <c r="G268" s="73">
        <f t="shared" si="220"/>
        <v>119543.00000000003</v>
      </c>
      <c r="H268" s="73">
        <f>SUM(H267+F268)</f>
        <v>119543</v>
      </c>
      <c r="I268" s="128">
        <f t="shared" si="227"/>
        <v>0.99999999999999978</v>
      </c>
      <c r="J268" s="75">
        <v>0</v>
      </c>
      <c r="K268" s="132"/>
      <c r="L268" s="132">
        <f t="shared" si="225"/>
        <v>6000</v>
      </c>
      <c r="M268" s="132">
        <f t="shared" si="222"/>
        <v>6000</v>
      </c>
      <c r="N268" s="78">
        <f t="shared" si="223"/>
        <v>1</v>
      </c>
      <c r="O268" s="75">
        <v>0</v>
      </c>
      <c r="P268" s="132"/>
      <c r="Q268" s="132">
        <f t="shared" si="211"/>
        <v>19718</v>
      </c>
      <c r="R268" s="132">
        <f t="shared" si="212"/>
        <v>19718</v>
      </c>
      <c r="S268" s="78">
        <f t="shared" si="226"/>
        <v>1</v>
      </c>
      <c r="T268" s="131"/>
      <c r="U268" s="130"/>
    </row>
    <row r="269" spans="1:31" ht="15" thickBot="1" x14ac:dyDescent="0.4">
      <c r="A269" s="133" t="s">
        <v>12</v>
      </c>
      <c r="B269" s="133"/>
      <c r="C269" s="133"/>
      <c r="D269" s="134"/>
      <c r="E269" s="135">
        <v>119543</v>
      </c>
      <c r="F269" s="136">
        <f>SUM(F245:F268)</f>
        <v>119543</v>
      </c>
      <c r="G269" s="136">
        <f>G268</f>
        <v>119543.00000000003</v>
      </c>
      <c r="H269" s="137">
        <f>H268</f>
        <v>119543</v>
      </c>
      <c r="I269" s="189">
        <f>H269/G269</f>
        <v>0.99999999999999978</v>
      </c>
      <c r="J269" s="138">
        <v>6000</v>
      </c>
      <c r="K269" s="139">
        <f>SUM(K245:K268)</f>
        <v>6000</v>
      </c>
      <c r="L269" s="140">
        <f>L268</f>
        <v>6000</v>
      </c>
      <c r="M269" s="141">
        <f>M268</f>
        <v>6000</v>
      </c>
      <c r="N269" s="142">
        <f>M269/L269</f>
        <v>1</v>
      </c>
      <c r="O269" s="138">
        <v>20000</v>
      </c>
      <c r="P269" s="139">
        <f>SUM(P245:P268)</f>
        <v>19718</v>
      </c>
      <c r="Q269" s="140">
        <f>Q268</f>
        <v>19718</v>
      </c>
      <c r="R269" s="141">
        <f>R268</f>
        <v>19718</v>
      </c>
      <c r="S269" s="142">
        <f t="shared" si="226"/>
        <v>1</v>
      </c>
      <c r="T269" s="143">
        <f>SUM(T245:T268)</f>
        <v>1</v>
      </c>
      <c r="U269" s="143">
        <f>SUM(U245:U268)</f>
        <v>1</v>
      </c>
    </row>
    <row r="270" spans="1:31" ht="15" thickTop="1" x14ac:dyDescent="0.35">
      <c r="E270" s="33">
        <f>E269+J269+O269</f>
        <v>145543</v>
      </c>
    </row>
    <row r="272" spans="1:31" x14ac:dyDescent="0.35">
      <c r="A272" s="198" t="s">
        <v>71</v>
      </c>
      <c r="B272" s="198"/>
      <c r="C272" s="198"/>
      <c r="D272" s="198"/>
      <c r="E272" s="198"/>
      <c r="F272" s="198"/>
      <c r="G272" s="198"/>
      <c r="H272" s="198"/>
      <c r="I272" s="198"/>
      <c r="J272" s="198"/>
      <c r="K272" s="198"/>
      <c r="L272" s="198"/>
      <c r="M272" s="198"/>
      <c r="N272" s="198"/>
      <c r="O272" s="198"/>
      <c r="P272" s="198"/>
      <c r="Q272" s="198"/>
      <c r="R272" s="198"/>
      <c r="S272" s="198"/>
      <c r="T272" s="198"/>
      <c r="U272" s="198"/>
      <c r="V272" s="198"/>
      <c r="W272" s="198"/>
      <c r="X272" s="198"/>
      <c r="Y272" s="198"/>
      <c r="Z272" s="198"/>
      <c r="AA272" s="198"/>
      <c r="AB272" s="198"/>
      <c r="AC272" s="198"/>
      <c r="AD272" s="198"/>
      <c r="AE272" s="198"/>
    </row>
    <row r="273" spans="1:31" ht="15" thickBot="1" x14ac:dyDescent="0.4">
      <c r="A273" s="202" t="s">
        <v>0</v>
      </c>
      <c r="B273" s="204"/>
      <c r="C273" s="204"/>
      <c r="D273" s="210"/>
      <c r="E273" s="211" t="s">
        <v>18</v>
      </c>
      <c r="F273" s="212"/>
      <c r="G273" s="212"/>
      <c r="H273" s="212"/>
      <c r="I273" s="213"/>
      <c r="J273" s="199" t="s">
        <v>17</v>
      </c>
      <c r="K273" s="200"/>
      <c r="L273" s="200"/>
      <c r="M273" s="200"/>
      <c r="N273" s="201"/>
      <c r="O273" s="207" t="s">
        <v>56</v>
      </c>
      <c r="P273" s="208"/>
      <c r="Q273" s="208"/>
      <c r="R273" s="208"/>
      <c r="S273" s="209"/>
      <c r="T273" s="199" t="s">
        <v>21</v>
      </c>
      <c r="U273" s="200"/>
      <c r="V273" s="200"/>
      <c r="W273" s="200"/>
      <c r="X273" s="201"/>
      <c r="Y273" s="199" t="s">
        <v>22</v>
      </c>
      <c r="Z273" s="200"/>
      <c r="AA273" s="200"/>
      <c r="AB273" s="200"/>
      <c r="AC273" s="201"/>
      <c r="AD273" s="202"/>
      <c r="AE273" s="203"/>
    </row>
    <row r="274" spans="1:31" ht="44" thickTop="1" x14ac:dyDescent="0.35">
      <c r="A274" s="7" t="s">
        <v>1</v>
      </c>
      <c r="B274" s="7" t="s">
        <v>2</v>
      </c>
      <c r="C274" s="7" t="s">
        <v>3</v>
      </c>
      <c r="D274" s="9" t="s">
        <v>9</v>
      </c>
      <c r="E274" s="19" t="s">
        <v>4</v>
      </c>
      <c r="F274" s="20" t="s">
        <v>6</v>
      </c>
      <c r="G274" s="20" t="s">
        <v>5</v>
      </c>
      <c r="H274" s="20" t="s">
        <v>7</v>
      </c>
      <c r="I274" s="23" t="s">
        <v>8</v>
      </c>
      <c r="J274" s="25" t="s">
        <v>4</v>
      </c>
      <c r="K274" s="26" t="s">
        <v>6</v>
      </c>
      <c r="L274" s="26" t="s">
        <v>5</v>
      </c>
      <c r="M274" s="26" t="s">
        <v>7</v>
      </c>
      <c r="N274" s="27" t="s">
        <v>8</v>
      </c>
      <c r="O274" s="84" t="s">
        <v>4</v>
      </c>
      <c r="P274" s="85" t="s">
        <v>6</v>
      </c>
      <c r="Q274" s="85" t="s">
        <v>5</v>
      </c>
      <c r="R274" s="85" t="s">
        <v>7</v>
      </c>
      <c r="S274" s="86" t="s">
        <v>8</v>
      </c>
      <c r="T274" s="25" t="s">
        <v>4</v>
      </c>
      <c r="U274" s="26" t="s">
        <v>6</v>
      </c>
      <c r="V274" s="26" t="s">
        <v>5</v>
      </c>
      <c r="W274" s="26" t="s">
        <v>7</v>
      </c>
      <c r="X274" s="27" t="s">
        <v>8</v>
      </c>
      <c r="Y274" s="25" t="s">
        <v>4</v>
      </c>
      <c r="Z274" s="26" t="s">
        <v>6</v>
      </c>
      <c r="AA274" s="26" t="s">
        <v>5</v>
      </c>
      <c r="AB274" s="26" t="s">
        <v>7</v>
      </c>
      <c r="AC274" s="27" t="s">
        <v>8</v>
      </c>
      <c r="AD274" s="13" t="s">
        <v>10</v>
      </c>
      <c r="AE274" s="8" t="s">
        <v>11</v>
      </c>
    </row>
    <row r="275" spans="1:31" ht="15.5" x14ac:dyDescent="0.35">
      <c r="A275" s="64">
        <v>2020</v>
      </c>
      <c r="B275" s="64">
        <v>4</v>
      </c>
      <c r="C275" s="65">
        <v>44105</v>
      </c>
      <c r="D275" s="65">
        <v>44196</v>
      </c>
      <c r="E275" s="66">
        <v>0</v>
      </c>
      <c r="F275" s="66">
        <v>0</v>
      </c>
      <c r="G275" s="66">
        <v>0</v>
      </c>
      <c r="H275" s="66">
        <v>0</v>
      </c>
      <c r="I275" s="67">
        <v>0</v>
      </c>
      <c r="J275" s="66">
        <v>0</v>
      </c>
      <c r="K275" s="66">
        <v>0</v>
      </c>
      <c r="L275" s="66">
        <v>0</v>
      </c>
      <c r="M275" s="66">
        <v>0</v>
      </c>
      <c r="N275" s="67">
        <v>0</v>
      </c>
      <c r="O275" s="66">
        <v>0</v>
      </c>
      <c r="P275" s="66">
        <v>0</v>
      </c>
      <c r="Q275" s="66">
        <v>0</v>
      </c>
      <c r="R275" s="66">
        <v>0</v>
      </c>
      <c r="S275" s="67">
        <v>0</v>
      </c>
      <c r="T275" s="66">
        <v>0</v>
      </c>
      <c r="U275" s="66">
        <v>0</v>
      </c>
      <c r="V275" s="66">
        <v>0</v>
      </c>
      <c r="W275" s="66">
        <v>0</v>
      </c>
      <c r="X275" s="67">
        <v>0</v>
      </c>
      <c r="Y275" s="66">
        <v>0</v>
      </c>
      <c r="Z275" s="66">
        <v>0</v>
      </c>
      <c r="AA275" s="66">
        <v>0</v>
      </c>
      <c r="AB275" s="66">
        <v>0</v>
      </c>
      <c r="AC275" s="67">
        <v>0</v>
      </c>
      <c r="AD275" s="68">
        <v>0</v>
      </c>
      <c r="AE275" s="69">
        <v>0</v>
      </c>
    </row>
    <row r="276" spans="1:31" ht="15.5" x14ac:dyDescent="0.35">
      <c r="A276" s="64">
        <v>2021</v>
      </c>
      <c r="B276" s="64">
        <v>1</v>
      </c>
      <c r="C276" s="65">
        <v>44197</v>
      </c>
      <c r="D276" s="65">
        <v>44286</v>
      </c>
      <c r="E276" s="66">
        <v>0</v>
      </c>
      <c r="F276" s="66">
        <v>0</v>
      </c>
      <c r="G276" s="66">
        <v>0</v>
      </c>
      <c r="H276" s="66">
        <v>0</v>
      </c>
      <c r="I276" s="67">
        <v>0</v>
      </c>
      <c r="J276" s="66">
        <v>0</v>
      </c>
      <c r="K276" s="66">
        <v>0</v>
      </c>
      <c r="L276" s="66">
        <v>0</v>
      </c>
      <c r="M276" s="66">
        <v>0</v>
      </c>
      <c r="N276" s="67">
        <v>0</v>
      </c>
      <c r="O276" s="66">
        <v>0</v>
      </c>
      <c r="P276" s="66">
        <v>0</v>
      </c>
      <c r="Q276" s="66">
        <v>0</v>
      </c>
      <c r="R276" s="66">
        <v>0</v>
      </c>
      <c r="S276" s="67">
        <v>0</v>
      </c>
      <c r="T276" s="66">
        <v>0</v>
      </c>
      <c r="U276" s="66">
        <v>0</v>
      </c>
      <c r="V276" s="66">
        <v>0</v>
      </c>
      <c r="W276" s="66">
        <v>0</v>
      </c>
      <c r="X276" s="67">
        <v>0</v>
      </c>
      <c r="Y276" s="66">
        <v>0</v>
      </c>
      <c r="Z276" s="66">
        <v>0</v>
      </c>
      <c r="AA276" s="66">
        <v>0</v>
      </c>
      <c r="AB276" s="66">
        <v>0</v>
      </c>
      <c r="AC276" s="67">
        <v>0</v>
      </c>
      <c r="AD276" s="68">
        <v>0</v>
      </c>
      <c r="AE276" s="69">
        <v>0</v>
      </c>
    </row>
    <row r="277" spans="1:31" ht="15.5" x14ac:dyDescent="0.35">
      <c r="A277" s="89">
        <v>2021</v>
      </c>
      <c r="B277" s="89">
        <v>2</v>
      </c>
      <c r="C277" s="90">
        <v>44287</v>
      </c>
      <c r="D277" s="90">
        <v>44377</v>
      </c>
      <c r="E277" s="100">
        <v>0</v>
      </c>
      <c r="F277" s="92">
        <v>0</v>
      </c>
      <c r="G277" s="92">
        <f>E277</f>
        <v>0</v>
      </c>
      <c r="H277" s="92">
        <f>SUM(F277+0)</f>
        <v>0</v>
      </c>
      <c r="I277" s="101">
        <v>0</v>
      </c>
      <c r="J277" s="102">
        <v>0</v>
      </c>
      <c r="K277" s="103">
        <v>0</v>
      </c>
      <c r="L277" s="104">
        <f>J277</f>
        <v>0</v>
      </c>
      <c r="M277" s="103">
        <f>SUM(K277+0)</f>
        <v>0</v>
      </c>
      <c r="N277" s="105">
        <v>0</v>
      </c>
      <c r="O277" s="102">
        <v>0</v>
      </c>
      <c r="P277" s="103">
        <v>0</v>
      </c>
      <c r="Q277" s="104">
        <f>O277</f>
        <v>0</v>
      </c>
      <c r="R277" s="103">
        <f>SUM(P277+0)</f>
        <v>0</v>
      </c>
      <c r="S277" s="105">
        <v>0</v>
      </c>
      <c r="T277" s="102">
        <v>0</v>
      </c>
      <c r="U277" s="103">
        <v>0</v>
      </c>
      <c r="V277" s="104">
        <f>T277</f>
        <v>0</v>
      </c>
      <c r="W277" s="103">
        <f>SUM(U277+0)</f>
        <v>0</v>
      </c>
      <c r="X277" s="105">
        <v>0</v>
      </c>
      <c r="Y277" s="102">
        <v>0</v>
      </c>
      <c r="Z277" s="103">
        <v>0</v>
      </c>
      <c r="AA277" s="104">
        <f>Y277</f>
        <v>0</v>
      </c>
      <c r="AB277" s="103">
        <f>SUM(Z277+0)</f>
        <v>0</v>
      </c>
      <c r="AC277" s="105">
        <v>0</v>
      </c>
      <c r="AD277" s="106">
        <v>0</v>
      </c>
      <c r="AE277" s="107">
        <v>0</v>
      </c>
    </row>
    <row r="278" spans="1:31" ht="15.5" x14ac:dyDescent="0.35">
      <c r="A278" s="64">
        <v>2021</v>
      </c>
      <c r="B278" s="64">
        <v>3</v>
      </c>
      <c r="C278" s="65">
        <v>44378</v>
      </c>
      <c r="D278" s="65">
        <v>44469</v>
      </c>
      <c r="E278" s="72"/>
      <c r="F278" s="73"/>
      <c r="G278" s="73">
        <f t="shared" ref="G278:G279" si="228">G277+E278</f>
        <v>0</v>
      </c>
      <c r="H278" s="73">
        <f t="shared" ref="H278:H282" si="229">SUM(H277+F278)</f>
        <v>0</v>
      </c>
      <c r="I278" s="74">
        <v>0</v>
      </c>
      <c r="J278" s="75">
        <v>0</v>
      </c>
      <c r="K278" s="76"/>
      <c r="L278" s="76">
        <f>L277+J278</f>
        <v>0</v>
      </c>
      <c r="M278" s="76">
        <f>SUM(M277+K278)</f>
        <v>0</v>
      </c>
      <c r="N278" s="78">
        <v>0</v>
      </c>
      <c r="O278" s="75">
        <v>0</v>
      </c>
      <c r="P278" s="76"/>
      <c r="Q278" s="76">
        <f t="shared" ref="Q278:Q298" si="230">Q277+O278</f>
        <v>0</v>
      </c>
      <c r="R278" s="76">
        <f t="shared" ref="R278:R298" si="231">SUM(R277+P278)</f>
        <v>0</v>
      </c>
      <c r="S278" s="78">
        <v>0</v>
      </c>
      <c r="T278" s="75">
        <v>0</v>
      </c>
      <c r="U278" s="76"/>
      <c r="V278" s="76">
        <f>V277+T278</f>
        <v>0</v>
      </c>
      <c r="W278" s="76">
        <f>SUM(W277+U278)</f>
        <v>0</v>
      </c>
      <c r="X278" s="78">
        <v>0</v>
      </c>
      <c r="Y278" s="75">
        <v>0</v>
      </c>
      <c r="Z278" s="76"/>
      <c r="AA278" s="76">
        <f>AA277+Y278</f>
        <v>0</v>
      </c>
      <c r="AB278" s="76">
        <f>SUM(AB277+Z278)</f>
        <v>0</v>
      </c>
      <c r="AC278" s="78">
        <v>0</v>
      </c>
      <c r="AD278" s="68">
        <v>0</v>
      </c>
      <c r="AE278" s="69"/>
    </row>
    <row r="279" spans="1:31" ht="15.5" x14ac:dyDescent="0.35">
      <c r="A279" s="64">
        <v>2022</v>
      </c>
      <c r="B279" s="64">
        <v>4</v>
      </c>
      <c r="C279" s="65">
        <v>44470</v>
      </c>
      <c r="D279" s="65">
        <v>44561</v>
      </c>
      <c r="E279" s="72">
        <v>0</v>
      </c>
      <c r="F279" s="73">
        <v>0</v>
      </c>
      <c r="G279" s="73">
        <f t="shared" si="228"/>
        <v>0</v>
      </c>
      <c r="H279" s="73">
        <f t="shared" si="229"/>
        <v>0</v>
      </c>
      <c r="I279" s="74">
        <v>0</v>
      </c>
      <c r="J279" s="75"/>
      <c r="K279" s="76"/>
      <c r="L279" s="76">
        <f t="shared" ref="L279:L282" si="232">L278+J279</f>
        <v>0</v>
      </c>
      <c r="M279" s="76">
        <f t="shared" ref="M279:M281" si="233">SUM(M278+K279)</f>
        <v>0</v>
      </c>
      <c r="N279" s="78">
        <v>0</v>
      </c>
      <c r="O279" s="75">
        <v>0</v>
      </c>
      <c r="P279" s="76"/>
      <c r="Q279" s="76">
        <f t="shared" si="230"/>
        <v>0</v>
      </c>
      <c r="R279" s="76">
        <f t="shared" si="231"/>
        <v>0</v>
      </c>
      <c r="S279" s="78">
        <v>0</v>
      </c>
      <c r="T279" s="75">
        <v>0</v>
      </c>
      <c r="U279" s="76">
        <v>0</v>
      </c>
      <c r="V279" s="76">
        <f t="shared" ref="V279:V280" si="234">V278+T279</f>
        <v>0</v>
      </c>
      <c r="W279" s="76">
        <f t="shared" ref="W279:W281" si="235">SUM(W278+U279)</f>
        <v>0</v>
      </c>
      <c r="X279" s="78">
        <v>0</v>
      </c>
      <c r="Y279" s="75">
        <v>0</v>
      </c>
      <c r="Z279" s="76">
        <v>0</v>
      </c>
      <c r="AA279" s="76">
        <f t="shared" ref="AA279:AA282" si="236">AA278+Y279</f>
        <v>0</v>
      </c>
      <c r="AB279" s="76">
        <f t="shared" ref="AB279:AB281" si="237">SUM(AB278+Z279)</f>
        <v>0</v>
      </c>
      <c r="AC279" s="78">
        <v>0</v>
      </c>
      <c r="AD279" s="68">
        <v>0</v>
      </c>
      <c r="AE279" s="69">
        <v>0</v>
      </c>
    </row>
    <row r="280" spans="1:31" ht="15.5" x14ac:dyDescent="0.35">
      <c r="A280" s="64">
        <v>2022</v>
      </c>
      <c r="B280" s="64">
        <v>1</v>
      </c>
      <c r="C280" s="65">
        <v>44562</v>
      </c>
      <c r="D280" s="65">
        <v>44651</v>
      </c>
      <c r="E280" s="72">
        <v>0</v>
      </c>
      <c r="F280" s="73">
        <v>0</v>
      </c>
      <c r="G280" s="73">
        <f>G279+E280</f>
        <v>0</v>
      </c>
      <c r="H280" s="73">
        <f t="shared" si="229"/>
        <v>0</v>
      </c>
      <c r="I280" s="74">
        <v>0</v>
      </c>
      <c r="J280" s="75"/>
      <c r="K280" s="76"/>
      <c r="L280" s="76">
        <f t="shared" si="232"/>
        <v>0</v>
      </c>
      <c r="M280" s="76">
        <f t="shared" si="233"/>
        <v>0</v>
      </c>
      <c r="N280" s="78">
        <v>0</v>
      </c>
      <c r="O280" s="75">
        <v>0</v>
      </c>
      <c r="P280" s="76"/>
      <c r="Q280" s="76">
        <f t="shared" si="230"/>
        <v>0</v>
      </c>
      <c r="R280" s="76">
        <f t="shared" si="231"/>
        <v>0</v>
      </c>
      <c r="S280" s="78">
        <v>0</v>
      </c>
      <c r="T280" s="75">
        <v>0</v>
      </c>
      <c r="U280" s="76">
        <v>0</v>
      </c>
      <c r="V280" s="76">
        <f t="shared" si="234"/>
        <v>0</v>
      </c>
      <c r="W280" s="76">
        <f t="shared" si="235"/>
        <v>0</v>
      </c>
      <c r="X280" s="78">
        <v>0</v>
      </c>
      <c r="Y280" s="75">
        <v>0</v>
      </c>
      <c r="Z280" s="76">
        <v>0</v>
      </c>
      <c r="AA280" s="76">
        <f t="shared" si="236"/>
        <v>0</v>
      </c>
      <c r="AB280" s="76">
        <f t="shared" si="237"/>
        <v>0</v>
      </c>
      <c r="AC280" s="78">
        <v>0</v>
      </c>
      <c r="AD280" s="68">
        <v>0</v>
      </c>
      <c r="AE280" s="69">
        <v>0</v>
      </c>
    </row>
    <row r="281" spans="1:31" ht="15.5" x14ac:dyDescent="0.35">
      <c r="A281" s="64">
        <v>2022</v>
      </c>
      <c r="B281" s="64">
        <v>2</v>
      </c>
      <c r="C281" s="65">
        <v>44652</v>
      </c>
      <c r="D281" s="65">
        <v>44742</v>
      </c>
      <c r="E281" s="72">
        <f>$E$299/17</f>
        <v>356088.9411764706</v>
      </c>
      <c r="F281" s="73"/>
      <c r="G281" s="73">
        <f t="shared" ref="G281:G282" si="238">G280+E281</f>
        <v>356088.9411764706</v>
      </c>
      <c r="H281" s="73">
        <f t="shared" si="229"/>
        <v>0</v>
      </c>
      <c r="I281" s="74">
        <f t="shared" ref="I281:I295" si="239">H281/G281</f>
        <v>0</v>
      </c>
      <c r="J281" s="75">
        <f>$J$299/17</f>
        <v>11764.705882352941</v>
      </c>
      <c r="K281" s="76"/>
      <c r="L281" s="76">
        <f t="shared" si="232"/>
        <v>11764.705882352941</v>
      </c>
      <c r="M281" s="76">
        <f t="shared" si="233"/>
        <v>0</v>
      </c>
      <c r="N281" s="78">
        <f t="shared" ref="N281:N282" si="240">M281/L281</f>
        <v>0</v>
      </c>
      <c r="O281" s="75">
        <v>0</v>
      </c>
      <c r="P281" s="76"/>
      <c r="Q281" s="76">
        <f t="shared" si="230"/>
        <v>0</v>
      </c>
      <c r="R281" s="76">
        <f t="shared" si="231"/>
        <v>0</v>
      </c>
      <c r="S281" s="78">
        <v>0</v>
      </c>
      <c r="T281" s="75">
        <f>$T$299/17</f>
        <v>406940.3823529412</v>
      </c>
      <c r="U281" s="76">
        <v>0</v>
      </c>
      <c r="V281" s="76">
        <f>V280+T281</f>
        <v>406940.3823529412</v>
      </c>
      <c r="W281" s="76">
        <f t="shared" si="235"/>
        <v>0</v>
      </c>
      <c r="X281" s="78">
        <v>0</v>
      </c>
      <c r="Y281" s="75">
        <f>$Y$299/17</f>
        <v>1176.4705882352941</v>
      </c>
      <c r="Z281" s="76">
        <v>0</v>
      </c>
      <c r="AA281" s="76">
        <f t="shared" si="236"/>
        <v>1176.4705882352941</v>
      </c>
      <c r="AB281" s="76">
        <f t="shared" si="237"/>
        <v>0</v>
      </c>
      <c r="AC281" s="78">
        <f t="shared" ref="AC281:AC282" si="241">AB281/AA281</f>
        <v>0</v>
      </c>
      <c r="AD281" s="68">
        <v>0</v>
      </c>
      <c r="AE281" s="69">
        <v>0</v>
      </c>
    </row>
    <row r="282" spans="1:31" ht="15.5" x14ac:dyDescent="0.35">
      <c r="A282" s="64">
        <v>2022</v>
      </c>
      <c r="B282" s="64">
        <v>3</v>
      </c>
      <c r="C282" s="65">
        <v>44743</v>
      </c>
      <c r="D282" s="65">
        <v>44834</v>
      </c>
      <c r="E282" s="72">
        <f t="shared" ref="E282:E297" si="242">$E$299/17</f>
        <v>356088.9411764706</v>
      </c>
      <c r="F282" s="73"/>
      <c r="G282" s="73">
        <f t="shared" si="238"/>
        <v>712177.8823529412</v>
      </c>
      <c r="H282" s="73">
        <f t="shared" si="229"/>
        <v>0</v>
      </c>
      <c r="I282" s="74">
        <f t="shared" si="239"/>
        <v>0</v>
      </c>
      <c r="J282" s="75">
        <f t="shared" ref="J282:J297" si="243">$J$299/17</f>
        <v>11764.705882352941</v>
      </c>
      <c r="K282" s="76"/>
      <c r="L282" s="76">
        <f t="shared" si="232"/>
        <v>23529.411764705881</v>
      </c>
      <c r="M282" s="76">
        <f>SUM(M281+K282)</f>
        <v>0</v>
      </c>
      <c r="N282" s="78">
        <f t="shared" si="240"/>
        <v>0</v>
      </c>
      <c r="O282" s="75">
        <v>0</v>
      </c>
      <c r="P282" s="76"/>
      <c r="Q282" s="76">
        <f t="shared" si="230"/>
        <v>0</v>
      </c>
      <c r="R282" s="76">
        <f t="shared" si="231"/>
        <v>0</v>
      </c>
      <c r="S282" s="78">
        <v>0</v>
      </c>
      <c r="T282" s="75">
        <f t="shared" ref="T282:T297" si="244">$T$299/17</f>
        <v>406940.3823529412</v>
      </c>
      <c r="U282" s="76">
        <v>0</v>
      </c>
      <c r="V282" s="76">
        <f>V281+T282</f>
        <v>813880.76470588241</v>
      </c>
      <c r="W282" s="76">
        <f>SUM(W281+U282)</f>
        <v>0</v>
      </c>
      <c r="X282" s="78">
        <v>0</v>
      </c>
      <c r="Y282" s="75">
        <f t="shared" ref="Y282:Y297" si="245">$Y$299/17</f>
        <v>1176.4705882352941</v>
      </c>
      <c r="Z282" s="76">
        <v>0</v>
      </c>
      <c r="AA282" s="76">
        <f t="shared" si="236"/>
        <v>2352.9411764705883</v>
      </c>
      <c r="AB282" s="76">
        <f>SUM(AB281+Z282)</f>
        <v>0</v>
      </c>
      <c r="AC282" s="78">
        <f t="shared" si="241"/>
        <v>0</v>
      </c>
      <c r="AD282" s="68">
        <v>0</v>
      </c>
      <c r="AE282" s="69">
        <v>0</v>
      </c>
    </row>
    <row r="283" spans="1:31" ht="15.5" x14ac:dyDescent="0.35">
      <c r="A283" s="64">
        <v>2022</v>
      </c>
      <c r="B283" s="64">
        <v>4</v>
      </c>
      <c r="C283" s="65">
        <v>44835</v>
      </c>
      <c r="D283" s="65">
        <v>44926</v>
      </c>
      <c r="E283" s="72">
        <f t="shared" si="242"/>
        <v>356088.9411764706</v>
      </c>
      <c r="F283" s="73">
        <v>1408</v>
      </c>
      <c r="G283" s="73">
        <f>G282+E283</f>
        <v>1068266.8235294118</v>
      </c>
      <c r="H283" s="73">
        <f>SUM(H282+F283)</f>
        <v>1408</v>
      </c>
      <c r="I283" s="74">
        <f t="shared" si="239"/>
        <v>1.3180227720150991E-3</v>
      </c>
      <c r="J283" s="75">
        <f t="shared" si="243"/>
        <v>11764.705882352941</v>
      </c>
      <c r="K283" s="76"/>
      <c r="L283" s="76">
        <f>L282+J283</f>
        <v>35294.117647058825</v>
      </c>
      <c r="M283" s="76">
        <f>SUM(M282+K283)</f>
        <v>0</v>
      </c>
      <c r="N283" s="78">
        <f>M283/L283</f>
        <v>0</v>
      </c>
      <c r="O283" s="75">
        <v>0</v>
      </c>
      <c r="P283" s="76"/>
      <c r="Q283" s="76">
        <f t="shared" si="230"/>
        <v>0</v>
      </c>
      <c r="R283" s="76">
        <f t="shared" si="231"/>
        <v>0</v>
      </c>
      <c r="S283" s="78">
        <v>0</v>
      </c>
      <c r="T283" s="75">
        <f t="shared" si="244"/>
        <v>406940.3823529412</v>
      </c>
      <c r="U283" s="76">
        <v>90640</v>
      </c>
      <c r="V283" s="76">
        <f>V282+T283</f>
        <v>1220821.1470588236</v>
      </c>
      <c r="W283" s="76">
        <f>SUM(W282+U283)</f>
        <v>90640</v>
      </c>
      <c r="X283" s="78">
        <f>W283/V283</f>
        <v>7.4245109710269985E-2</v>
      </c>
      <c r="Y283" s="75">
        <f t="shared" si="245"/>
        <v>1176.4705882352941</v>
      </c>
      <c r="Z283" s="76">
        <v>5789</v>
      </c>
      <c r="AA283" s="76">
        <f>AA282+Y283</f>
        <v>3529.4117647058824</v>
      </c>
      <c r="AB283" s="76">
        <f>SUM(AB282+Z283)</f>
        <v>5789</v>
      </c>
      <c r="AC283" s="78">
        <f>AB283/AA283</f>
        <v>1.6402166666666667</v>
      </c>
      <c r="AD283" s="68">
        <v>0</v>
      </c>
      <c r="AE283" s="69">
        <v>0</v>
      </c>
    </row>
    <row r="284" spans="1:31" ht="15.5" x14ac:dyDescent="0.35">
      <c r="A284" s="64">
        <v>2023</v>
      </c>
      <c r="B284" s="64">
        <v>1</v>
      </c>
      <c r="C284" s="65">
        <v>44927</v>
      </c>
      <c r="D284" s="65">
        <v>45016</v>
      </c>
      <c r="E284" s="72">
        <f t="shared" si="242"/>
        <v>356088.9411764706</v>
      </c>
      <c r="F284" s="73"/>
      <c r="G284" s="73">
        <f t="shared" ref="G284:G298" si="246">G283+E284</f>
        <v>1424355.7647058824</v>
      </c>
      <c r="H284" s="73">
        <f t="shared" ref="H284:H297" si="247">SUM(H283+F284)</f>
        <v>1408</v>
      </c>
      <c r="I284" s="74">
        <f t="shared" si="239"/>
        <v>9.8851707901132435E-4</v>
      </c>
      <c r="J284" s="75">
        <f t="shared" si="243"/>
        <v>11764.705882352941</v>
      </c>
      <c r="K284" s="76">
        <v>29046</v>
      </c>
      <c r="L284" s="76">
        <f>L283+J284</f>
        <v>47058.823529411762</v>
      </c>
      <c r="M284" s="76">
        <f t="shared" ref="M284:M298" si="248">SUM(M283+K284)</f>
        <v>29046</v>
      </c>
      <c r="N284" s="78">
        <f t="shared" ref="N284:N298" si="249">M284/L284</f>
        <v>0.61722750000000004</v>
      </c>
      <c r="O284" s="75">
        <v>0</v>
      </c>
      <c r="P284" s="76"/>
      <c r="Q284" s="76">
        <f t="shared" si="230"/>
        <v>0</v>
      </c>
      <c r="R284" s="76">
        <f t="shared" si="231"/>
        <v>0</v>
      </c>
      <c r="S284" s="78">
        <v>0</v>
      </c>
      <c r="T284" s="75">
        <f t="shared" si="244"/>
        <v>406940.3823529412</v>
      </c>
      <c r="U284" s="76">
        <v>278190</v>
      </c>
      <c r="V284" s="76">
        <f>V283+T284</f>
        <v>1627761.5294117648</v>
      </c>
      <c r="W284" s="76">
        <f t="shared" ref="W284:W298" si="250">SUM(W283+U284)</f>
        <v>368830</v>
      </c>
      <c r="X284" s="78">
        <f t="shared" ref="X284:X298" si="251">W284/V284</f>
        <v>0.22658724471347261</v>
      </c>
      <c r="Y284" s="75">
        <f t="shared" si="245"/>
        <v>1176.4705882352941</v>
      </c>
      <c r="Z284" s="76">
        <v>28945</v>
      </c>
      <c r="AA284" s="76">
        <f>AA283+Y284</f>
        <v>4705.8823529411766</v>
      </c>
      <c r="AB284" s="76">
        <f t="shared" ref="AB284:AB298" si="252">SUM(AB283+Z284)</f>
        <v>34734</v>
      </c>
      <c r="AC284" s="78">
        <f t="shared" ref="AC284:AC298" si="253">AB284/AA284</f>
        <v>7.3809749999999994</v>
      </c>
      <c r="AD284" s="68">
        <v>0</v>
      </c>
      <c r="AE284" s="69">
        <v>0</v>
      </c>
    </row>
    <row r="285" spans="1:31" ht="15.5" x14ac:dyDescent="0.35">
      <c r="A285" s="64">
        <v>2023</v>
      </c>
      <c r="B285" s="64">
        <v>2</v>
      </c>
      <c r="C285" s="65">
        <v>45017</v>
      </c>
      <c r="D285" s="65">
        <v>45107</v>
      </c>
      <c r="E285" s="72">
        <f t="shared" si="242"/>
        <v>356088.9411764706</v>
      </c>
      <c r="F285" s="73"/>
      <c r="G285" s="73">
        <f t="shared" si="246"/>
        <v>1780444.705882353</v>
      </c>
      <c r="H285" s="73">
        <f t="shared" si="247"/>
        <v>1408</v>
      </c>
      <c r="I285" s="74">
        <f t="shared" si="239"/>
        <v>7.9081366320905941E-4</v>
      </c>
      <c r="J285" s="75">
        <f t="shared" si="243"/>
        <v>11764.705882352941</v>
      </c>
      <c r="K285" s="76">
        <v>0</v>
      </c>
      <c r="L285" s="76">
        <f t="shared" ref="L285" si="254">L284+J285</f>
        <v>58823.529411764699</v>
      </c>
      <c r="M285" s="76">
        <f t="shared" si="248"/>
        <v>29046</v>
      </c>
      <c r="N285" s="78">
        <f t="shared" si="249"/>
        <v>0.49378200000000005</v>
      </c>
      <c r="O285" s="75">
        <v>0</v>
      </c>
      <c r="P285" s="76"/>
      <c r="Q285" s="76">
        <f t="shared" si="230"/>
        <v>0</v>
      </c>
      <c r="R285" s="76">
        <f t="shared" si="231"/>
        <v>0</v>
      </c>
      <c r="S285" s="78">
        <v>0</v>
      </c>
      <c r="T285" s="75">
        <f t="shared" si="244"/>
        <v>406940.3823529412</v>
      </c>
      <c r="U285" s="76">
        <v>0</v>
      </c>
      <c r="V285" s="76">
        <f t="shared" ref="V285" si="255">V284+T285</f>
        <v>2034701.911764706</v>
      </c>
      <c r="W285" s="76">
        <f t="shared" si="250"/>
        <v>368830</v>
      </c>
      <c r="X285" s="78">
        <f t="shared" si="251"/>
        <v>0.18126979577077809</v>
      </c>
      <c r="Y285" s="75">
        <f t="shared" si="245"/>
        <v>1176.4705882352941</v>
      </c>
      <c r="Z285" s="76">
        <v>0</v>
      </c>
      <c r="AA285" s="76">
        <f t="shared" ref="AA285" si="256">AA284+Y285</f>
        <v>5882.3529411764703</v>
      </c>
      <c r="AB285" s="76">
        <f t="shared" si="252"/>
        <v>34734</v>
      </c>
      <c r="AC285" s="78">
        <f t="shared" si="253"/>
        <v>5.9047800000000006</v>
      </c>
      <c r="AD285" s="68">
        <v>0</v>
      </c>
      <c r="AE285" s="69">
        <v>0</v>
      </c>
    </row>
    <row r="286" spans="1:31" ht="15.5" x14ac:dyDescent="0.35">
      <c r="A286" s="64">
        <v>2023</v>
      </c>
      <c r="B286" s="64">
        <v>3</v>
      </c>
      <c r="C286" s="65">
        <v>45108</v>
      </c>
      <c r="D286" s="65">
        <v>45199</v>
      </c>
      <c r="E286" s="72">
        <f t="shared" si="242"/>
        <v>356088.9411764706</v>
      </c>
      <c r="F286" s="73">
        <v>48766.400000000001</v>
      </c>
      <c r="G286" s="73">
        <f t="shared" si="246"/>
        <v>2136533.6470588236</v>
      </c>
      <c r="H286" s="73">
        <f t="shared" si="247"/>
        <v>50174.400000000001</v>
      </c>
      <c r="I286" s="74">
        <f t="shared" si="239"/>
        <v>2.348402051569403E-2</v>
      </c>
      <c r="J286" s="75">
        <f t="shared" si="243"/>
        <v>11764.705882352941</v>
      </c>
      <c r="K286" s="76">
        <v>14734</v>
      </c>
      <c r="L286" s="76">
        <f>L285+J286</f>
        <v>70588.235294117636</v>
      </c>
      <c r="M286" s="76">
        <f t="shared" si="248"/>
        <v>43780</v>
      </c>
      <c r="N286" s="78">
        <f t="shared" si="249"/>
        <v>0.62021666666666675</v>
      </c>
      <c r="O286" s="75">
        <v>0</v>
      </c>
      <c r="P286" s="76"/>
      <c r="Q286" s="76">
        <f t="shared" si="230"/>
        <v>0</v>
      </c>
      <c r="R286" s="76">
        <f t="shared" si="231"/>
        <v>0</v>
      </c>
      <c r="S286" s="78">
        <v>0</v>
      </c>
      <c r="T286" s="75">
        <f t="shared" si="244"/>
        <v>406940.3823529412</v>
      </c>
      <c r="U286" s="76">
        <v>34446.58</v>
      </c>
      <c r="V286" s="76">
        <f>V285+T286</f>
        <v>2441642.2941176472</v>
      </c>
      <c r="W286" s="76">
        <f t="shared" si="250"/>
        <v>403276.58</v>
      </c>
      <c r="X286" s="78">
        <f t="shared" si="251"/>
        <v>0.1651661183014258</v>
      </c>
      <c r="Y286" s="75">
        <f t="shared" si="245"/>
        <v>1176.4705882352941</v>
      </c>
      <c r="Z286" s="76">
        <v>-14734</v>
      </c>
      <c r="AA286" s="76">
        <f>AA285+Y286</f>
        <v>7058.823529411764</v>
      </c>
      <c r="AB286" s="76">
        <f t="shared" si="252"/>
        <v>20000</v>
      </c>
      <c r="AC286" s="78">
        <f t="shared" si="253"/>
        <v>2.8333333333333335</v>
      </c>
      <c r="AD286" s="68">
        <v>0</v>
      </c>
      <c r="AE286" s="69">
        <v>0</v>
      </c>
    </row>
    <row r="287" spans="1:31" ht="15.5" x14ac:dyDescent="0.35">
      <c r="A287" s="64">
        <v>2023</v>
      </c>
      <c r="B287" s="64">
        <v>4</v>
      </c>
      <c r="C287" s="65">
        <v>45200</v>
      </c>
      <c r="D287" s="65">
        <v>45291</v>
      </c>
      <c r="E287" s="72">
        <f t="shared" si="242"/>
        <v>356088.9411764706</v>
      </c>
      <c r="F287" s="73">
        <v>300</v>
      </c>
      <c r="G287" s="73">
        <f t="shared" si="246"/>
        <v>2492622.5882352944</v>
      </c>
      <c r="H287" s="73">
        <f t="shared" si="247"/>
        <v>50474.400000000001</v>
      </c>
      <c r="I287" s="74">
        <f t="shared" si="239"/>
        <v>2.0249515605864118E-2</v>
      </c>
      <c r="J287" s="75">
        <f t="shared" si="243"/>
        <v>11764.705882352941</v>
      </c>
      <c r="K287" s="76">
        <f>17367+23156</f>
        <v>40523</v>
      </c>
      <c r="L287" s="76">
        <f t="shared" ref="L287:L298" si="257">L286+J287</f>
        <v>82352.941176470573</v>
      </c>
      <c r="M287" s="76">
        <f t="shared" si="248"/>
        <v>84303</v>
      </c>
      <c r="N287" s="78">
        <f t="shared" si="249"/>
        <v>1.023679285714286</v>
      </c>
      <c r="O287" s="75">
        <v>0</v>
      </c>
      <c r="P287" s="76">
        <v>0</v>
      </c>
      <c r="Q287" s="76">
        <f t="shared" si="230"/>
        <v>0</v>
      </c>
      <c r="R287" s="76">
        <f t="shared" si="231"/>
        <v>0</v>
      </c>
      <c r="S287" s="78">
        <v>0</v>
      </c>
      <c r="T287" s="75">
        <f t="shared" si="244"/>
        <v>406940.3823529412</v>
      </c>
      <c r="U287" s="76">
        <v>2469172.7599999998</v>
      </c>
      <c r="V287" s="76">
        <f t="shared" ref="V287:V298" si="258">V286+T287</f>
        <v>2848582.6764705884</v>
      </c>
      <c r="W287" s="76">
        <f t="shared" si="250"/>
        <v>2872449.34</v>
      </c>
      <c r="X287" s="78">
        <f t="shared" si="251"/>
        <v>1.0083784345550337</v>
      </c>
      <c r="Y287" s="75">
        <f t="shared" si="245"/>
        <v>1176.4705882352941</v>
      </c>
      <c r="Z287" s="76">
        <v>0</v>
      </c>
      <c r="AA287" s="76">
        <f t="shared" ref="AA287:AA298" si="259">AA286+Y287</f>
        <v>8235.2941176470576</v>
      </c>
      <c r="AB287" s="76">
        <f t="shared" si="252"/>
        <v>20000</v>
      </c>
      <c r="AC287" s="78">
        <f t="shared" si="253"/>
        <v>2.4285714285714288</v>
      </c>
      <c r="AD287" s="68">
        <v>0</v>
      </c>
      <c r="AE287" s="69">
        <v>0</v>
      </c>
    </row>
    <row r="288" spans="1:31" ht="15.5" x14ac:dyDescent="0.35">
      <c r="A288" s="64">
        <v>2024</v>
      </c>
      <c r="B288" s="64">
        <v>1</v>
      </c>
      <c r="C288" s="65">
        <v>45292</v>
      </c>
      <c r="D288" s="65">
        <v>45382</v>
      </c>
      <c r="E288" s="72">
        <f t="shared" si="242"/>
        <v>356088.9411764706</v>
      </c>
      <c r="F288" s="73">
        <v>309772.79999999999</v>
      </c>
      <c r="G288" s="73">
        <f t="shared" si="246"/>
        <v>2848711.5294117648</v>
      </c>
      <c r="H288" s="73">
        <f t="shared" si="247"/>
        <v>360247.2</v>
      </c>
      <c r="I288" s="74">
        <f t="shared" si="239"/>
        <v>0.12645969810582683</v>
      </c>
      <c r="J288" s="75">
        <f t="shared" si="243"/>
        <v>11764.705882352941</v>
      </c>
      <c r="K288" s="76">
        <v>14569.7</v>
      </c>
      <c r="L288" s="76">
        <f t="shared" si="257"/>
        <v>94117.64705882351</v>
      </c>
      <c r="M288" s="76">
        <f t="shared" si="248"/>
        <v>98872.7</v>
      </c>
      <c r="N288" s="78">
        <f t="shared" si="249"/>
        <v>1.0505224375000002</v>
      </c>
      <c r="O288" s="75">
        <v>0</v>
      </c>
      <c r="P288" s="76">
        <v>0</v>
      </c>
      <c r="Q288" s="76">
        <f t="shared" si="230"/>
        <v>0</v>
      </c>
      <c r="R288" s="76">
        <f t="shared" si="231"/>
        <v>0</v>
      </c>
      <c r="S288" s="78">
        <v>0</v>
      </c>
      <c r="T288" s="75">
        <f t="shared" si="244"/>
        <v>406940.3823529412</v>
      </c>
      <c r="U288" s="76">
        <f>42897.5+730777.24</f>
        <v>773674.74</v>
      </c>
      <c r="V288" s="76">
        <f t="shared" si="258"/>
        <v>3255523.0588235296</v>
      </c>
      <c r="W288" s="76">
        <f t="shared" si="250"/>
        <v>3646124.08</v>
      </c>
      <c r="X288" s="78">
        <f t="shared" si="251"/>
        <v>1.1199810334986922</v>
      </c>
      <c r="Y288" s="75">
        <f t="shared" si="245"/>
        <v>1176.4705882352941</v>
      </c>
      <c r="Z288" s="76"/>
      <c r="AA288" s="76">
        <f t="shared" si="259"/>
        <v>9411.7647058823513</v>
      </c>
      <c r="AB288" s="76">
        <f t="shared" si="252"/>
        <v>20000</v>
      </c>
      <c r="AC288" s="78">
        <f t="shared" si="253"/>
        <v>2.1250000000000004</v>
      </c>
      <c r="AD288" s="68">
        <v>0</v>
      </c>
      <c r="AE288" s="69">
        <v>0</v>
      </c>
    </row>
    <row r="289" spans="1:31" ht="15.5" x14ac:dyDescent="0.35">
      <c r="A289" s="64">
        <v>2024</v>
      </c>
      <c r="B289" s="64">
        <v>2</v>
      </c>
      <c r="C289" s="65">
        <v>45383</v>
      </c>
      <c r="D289" s="65">
        <v>45473</v>
      </c>
      <c r="E289" s="72">
        <f t="shared" si="242"/>
        <v>356088.9411764706</v>
      </c>
      <c r="F289" s="73">
        <v>506102.37</v>
      </c>
      <c r="G289" s="73">
        <f t="shared" si="246"/>
        <v>3204800.4705882352</v>
      </c>
      <c r="H289" s="73">
        <f t="shared" si="247"/>
        <v>866349.57000000007</v>
      </c>
      <c r="I289" s="74">
        <f t="shared" si="239"/>
        <v>0.27032870780906471</v>
      </c>
      <c r="J289" s="75">
        <f t="shared" si="243"/>
        <v>11764.705882352941</v>
      </c>
      <c r="K289" s="76"/>
      <c r="L289" s="76">
        <f t="shared" si="257"/>
        <v>105882.35294117645</v>
      </c>
      <c r="M289" s="76">
        <f t="shared" si="248"/>
        <v>98872.7</v>
      </c>
      <c r="N289" s="78">
        <f t="shared" si="249"/>
        <v>0.93379772222222246</v>
      </c>
      <c r="O289" s="75">
        <v>0</v>
      </c>
      <c r="P289" s="76">
        <v>0</v>
      </c>
      <c r="Q289" s="76">
        <f t="shared" si="230"/>
        <v>0</v>
      </c>
      <c r="R289" s="76">
        <f t="shared" si="231"/>
        <v>0</v>
      </c>
      <c r="S289" s="78">
        <v>0</v>
      </c>
      <c r="T289" s="75">
        <f t="shared" si="244"/>
        <v>406940.3823529412</v>
      </c>
      <c r="U289" s="76">
        <v>216318.38</v>
      </c>
      <c r="V289" s="76">
        <f t="shared" si="258"/>
        <v>3662463.4411764708</v>
      </c>
      <c r="W289" s="76">
        <f t="shared" si="250"/>
        <v>3862442.46</v>
      </c>
      <c r="X289" s="78">
        <f t="shared" si="251"/>
        <v>1.0546023249202157</v>
      </c>
      <c r="Y289" s="75">
        <f t="shared" si="245"/>
        <v>1176.4705882352941</v>
      </c>
      <c r="Z289" s="76"/>
      <c r="AA289" s="76">
        <f t="shared" si="259"/>
        <v>10588.235294117645</v>
      </c>
      <c r="AB289" s="76">
        <f t="shared" si="252"/>
        <v>20000</v>
      </c>
      <c r="AC289" s="78">
        <f t="shared" si="253"/>
        <v>1.8888888888888893</v>
      </c>
      <c r="AD289" s="68">
        <v>0</v>
      </c>
      <c r="AE289" s="69">
        <v>0</v>
      </c>
    </row>
    <row r="290" spans="1:31" ht="15.5" x14ac:dyDescent="0.35">
      <c r="A290" s="64">
        <v>2024</v>
      </c>
      <c r="B290" s="64">
        <v>3</v>
      </c>
      <c r="C290" s="65">
        <v>45474</v>
      </c>
      <c r="D290" s="65">
        <v>45565</v>
      </c>
      <c r="E290" s="72">
        <f t="shared" si="242"/>
        <v>356088.9411764706</v>
      </c>
      <c r="F290" s="73">
        <v>2085055.11</v>
      </c>
      <c r="G290" s="73">
        <f t="shared" si="246"/>
        <v>3560889.4117647056</v>
      </c>
      <c r="H290" s="73">
        <f t="shared" si="247"/>
        <v>2951404.68</v>
      </c>
      <c r="I290" s="128">
        <f t="shared" si="239"/>
        <v>0.82883918558350933</v>
      </c>
      <c r="J290" s="75">
        <f t="shared" si="243"/>
        <v>11764.705882352941</v>
      </c>
      <c r="K290" s="77">
        <v>0</v>
      </c>
      <c r="L290" s="77">
        <f t="shared" si="257"/>
        <v>117647.05882352938</v>
      </c>
      <c r="M290" s="77">
        <f t="shared" si="248"/>
        <v>98872.7</v>
      </c>
      <c r="N290" s="78">
        <f t="shared" si="249"/>
        <v>0.84041795000000019</v>
      </c>
      <c r="O290" s="75">
        <v>0</v>
      </c>
      <c r="P290" s="76">
        <v>68379.45</v>
      </c>
      <c r="Q290" s="77">
        <f t="shared" si="230"/>
        <v>0</v>
      </c>
      <c r="R290" s="77">
        <f t="shared" si="231"/>
        <v>68379.45</v>
      </c>
      <c r="S290" s="78">
        <v>0</v>
      </c>
      <c r="T290" s="75">
        <f t="shared" si="244"/>
        <v>406940.3823529412</v>
      </c>
      <c r="U290" s="77">
        <v>1095108.28</v>
      </c>
      <c r="V290" s="77">
        <f t="shared" si="258"/>
        <v>4069403.823529412</v>
      </c>
      <c r="W290" s="77">
        <f t="shared" si="250"/>
        <v>4957550.74</v>
      </c>
      <c r="X290" s="78">
        <f t="shared" si="251"/>
        <v>1.2182498849918253</v>
      </c>
      <c r="Y290" s="75">
        <f t="shared" si="245"/>
        <v>1176.4705882352941</v>
      </c>
      <c r="Z290" s="77"/>
      <c r="AA290" s="77">
        <f t="shared" si="259"/>
        <v>11764.705882352939</v>
      </c>
      <c r="AB290" s="77">
        <f t="shared" si="252"/>
        <v>20000</v>
      </c>
      <c r="AC290" s="78">
        <f t="shared" si="253"/>
        <v>1.7000000000000004</v>
      </c>
      <c r="AD290" s="131">
        <v>0</v>
      </c>
      <c r="AE290" s="130">
        <v>0</v>
      </c>
    </row>
    <row r="291" spans="1:31" ht="15.5" x14ac:dyDescent="0.35">
      <c r="A291" s="1">
        <v>2024</v>
      </c>
      <c r="B291" s="1">
        <v>4</v>
      </c>
      <c r="C291" s="2">
        <v>45566</v>
      </c>
      <c r="D291" s="2">
        <v>45657</v>
      </c>
      <c r="E291" s="21">
        <f t="shared" si="242"/>
        <v>356088.9411764706</v>
      </c>
      <c r="F291" s="18"/>
      <c r="G291" s="18">
        <f t="shared" si="246"/>
        <v>3916978.3529411759</v>
      </c>
      <c r="H291" s="18">
        <f t="shared" si="247"/>
        <v>2951404.68</v>
      </c>
      <c r="I291" s="24">
        <f t="shared" si="239"/>
        <v>0.75349016871228125</v>
      </c>
      <c r="J291" s="10">
        <f t="shared" si="243"/>
        <v>11764.705882352941</v>
      </c>
      <c r="K291" s="4"/>
      <c r="L291" s="4">
        <f t="shared" si="257"/>
        <v>129411.76470588232</v>
      </c>
      <c r="M291" s="4">
        <f t="shared" si="248"/>
        <v>98872.7</v>
      </c>
      <c r="N291" s="16">
        <f t="shared" si="249"/>
        <v>0.76401631818181837</v>
      </c>
      <c r="O291" s="11">
        <v>0</v>
      </c>
      <c r="P291" s="4"/>
      <c r="Q291" s="4">
        <f t="shared" si="230"/>
        <v>0</v>
      </c>
      <c r="R291" s="4">
        <f t="shared" si="231"/>
        <v>68379.45</v>
      </c>
      <c r="S291" s="16" t="e">
        <f t="shared" ref="S291:S299" si="260">R291/Q291</f>
        <v>#DIV/0!</v>
      </c>
      <c r="T291" s="10">
        <f t="shared" si="244"/>
        <v>406940.3823529412</v>
      </c>
      <c r="U291" s="4"/>
      <c r="V291" s="4">
        <f t="shared" si="258"/>
        <v>4476344.2058823537</v>
      </c>
      <c r="W291" s="4">
        <f t="shared" si="250"/>
        <v>4957550.74</v>
      </c>
      <c r="X291" s="16">
        <f t="shared" si="251"/>
        <v>1.1074998954471138</v>
      </c>
      <c r="Y291" s="75">
        <f t="shared" si="245"/>
        <v>1176.4705882352941</v>
      </c>
      <c r="Z291" s="77"/>
      <c r="AA291" s="77">
        <f t="shared" si="259"/>
        <v>12941.176470588232</v>
      </c>
      <c r="AB291" s="77">
        <f t="shared" si="252"/>
        <v>20000</v>
      </c>
      <c r="AC291" s="78">
        <f t="shared" si="253"/>
        <v>1.5454545454545459</v>
      </c>
      <c r="AD291" s="14">
        <v>0</v>
      </c>
      <c r="AE291" s="3"/>
    </row>
    <row r="292" spans="1:31" ht="15.5" x14ac:dyDescent="0.35">
      <c r="A292" s="1">
        <v>2025</v>
      </c>
      <c r="B292" s="1">
        <v>1</v>
      </c>
      <c r="C292" s="2">
        <v>45658</v>
      </c>
      <c r="D292" s="2">
        <v>45747</v>
      </c>
      <c r="E292" s="21">
        <f t="shared" si="242"/>
        <v>356088.9411764706</v>
      </c>
      <c r="F292" s="18"/>
      <c r="G292" s="18">
        <f t="shared" si="246"/>
        <v>4273067.2941176463</v>
      </c>
      <c r="H292" s="18">
        <f t="shared" si="247"/>
        <v>2951404.68</v>
      </c>
      <c r="I292" s="24">
        <f t="shared" si="239"/>
        <v>0.69069932131959122</v>
      </c>
      <c r="J292" s="10">
        <f t="shared" si="243"/>
        <v>11764.705882352941</v>
      </c>
      <c r="K292" s="4"/>
      <c r="L292" s="4">
        <f t="shared" si="257"/>
        <v>141176.47058823527</v>
      </c>
      <c r="M292" s="4">
        <f t="shared" si="248"/>
        <v>98872.7</v>
      </c>
      <c r="N292" s="16">
        <f t="shared" si="249"/>
        <v>0.70034829166666679</v>
      </c>
      <c r="O292" s="11">
        <v>0</v>
      </c>
      <c r="P292" s="4"/>
      <c r="Q292" s="4">
        <f t="shared" si="230"/>
        <v>0</v>
      </c>
      <c r="R292" s="4">
        <f t="shared" si="231"/>
        <v>68379.45</v>
      </c>
      <c r="S292" s="16" t="e">
        <f t="shared" si="260"/>
        <v>#DIV/0!</v>
      </c>
      <c r="T292" s="10">
        <f t="shared" si="244"/>
        <v>406940.3823529412</v>
      </c>
      <c r="U292" s="4"/>
      <c r="V292" s="4">
        <f t="shared" si="258"/>
        <v>4883284.5882352944</v>
      </c>
      <c r="W292" s="4">
        <f t="shared" si="250"/>
        <v>4957550.74</v>
      </c>
      <c r="X292" s="16">
        <f t="shared" si="251"/>
        <v>1.0152082374931877</v>
      </c>
      <c r="Y292" s="75">
        <f t="shared" si="245"/>
        <v>1176.4705882352941</v>
      </c>
      <c r="Z292" s="77"/>
      <c r="AA292" s="77">
        <f t="shared" si="259"/>
        <v>14117.647058823526</v>
      </c>
      <c r="AB292" s="77">
        <f t="shared" si="252"/>
        <v>20000</v>
      </c>
      <c r="AC292" s="78">
        <f t="shared" si="253"/>
        <v>1.416666666666667</v>
      </c>
      <c r="AD292" s="14">
        <v>0</v>
      </c>
      <c r="AE292" s="3"/>
    </row>
    <row r="293" spans="1:31" ht="15.5" x14ac:dyDescent="0.35">
      <c r="A293" s="1">
        <v>2025</v>
      </c>
      <c r="B293" s="1">
        <v>2</v>
      </c>
      <c r="C293" s="2">
        <v>45748</v>
      </c>
      <c r="D293" s="2">
        <v>45838</v>
      </c>
      <c r="E293" s="21">
        <f t="shared" si="242"/>
        <v>356088.9411764706</v>
      </c>
      <c r="F293" s="18"/>
      <c r="G293" s="18">
        <f t="shared" si="246"/>
        <v>4629156.2352941167</v>
      </c>
      <c r="H293" s="18">
        <f t="shared" si="247"/>
        <v>2951404.68</v>
      </c>
      <c r="I293" s="24">
        <f t="shared" si="239"/>
        <v>0.63756860429500728</v>
      </c>
      <c r="J293" s="10">
        <f t="shared" si="243"/>
        <v>11764.705882352941</v>
      </c>
      <c r="K293" s="4"/>
      <c r="L293" s="4">
        <f t="shared" si="257"/>
        <v>152941.17647058822</v>
      </c>
      <c r="M293" s="4">
        <f t="shared" si="248"/>
        <v>98872.7</v>
      </c>
      <c r="N293" s="16">
        <f t="shared" si="249"/>
        <v>0.64647534615384616</v>
      </c>
      <c r="O293" s="11">
        <v>0</v>
      </c>
      <c r="P293" s="4"/>
      <c r="Q293" s="4">
        <f t="shared" si="230"/>
        <v>0</v>
      </c>
      <c r="R293" s="4">
        <f t="shared" si="231"/>
        <v>68379.45</v>
      </c>
      <c r="S293" s="16" t="e">
        <f t="shared" si="260"/>
        <v>#DIV/0!</v>
      </c>
      <c r="T293" s="10">
        <f t="shared" si="244"/>
        <v>406940.3823529412</v>
      </c>
      <c r="U293" s="4"/>
      <c r="V293" s="4">
        <f t="shared" si="258"/>
        <v>5290224.9705882352</v>
      </c>
      <c r="W293" s="4">
        <f t="shared" si="250"/>
        <v>4957550.74</v>
      </c>
      <c r="X293" s="16">
        <f t="shared" si="251"/>
        <v>0.93711529614755795</v>
      </c>
      <c r="Y293" s="75">
        <f t="shared" si="245"/>
        <v>1176.4705882352941</v>
      </c>
      <c r="Z293" s="77"/>
      <c r="AA293" s="77">
        <f t="shared" si="259"/>
        <v>15294.11764705882</v>
      </c>
      <c r="AB293" s="77">
        <f t="shared" si="252"/>
        <v>20000</v>
      </c>
      <c r="AC293" s="78">
        <f t="shared" si="253"/>
        <v>1.3076923076923079</v>
      </c>
      <c r="AD293" s="14">
        <v>0</v>
      </c>
      <c r="AE293" s="3"/>
    </row>
    <row r="294" spans="1:31" ht="15.5" x14ac:dyDescent="0.35">
      <c r="A294" s="1">
        <v>2025</v>
      </c>
      <c r="B294" s="1">
        <v>3</v>
      </c>
      <c r="C294" s="2">
        <v>45839</v>
      </c>
      <c r="D294" s="2">
        <v>45930</v>
      </c>
      <c r="E294" s="21">
        <f t="shared" si="242"/>
        <v>356088.9411764706</v>
      </c>
      <c r="F294" s="18"/>
      <c r="G294" s="18">
        <f t="shared" si="246"/>
        <v>4985245.176470587</v>
      </c>
      <c r="H294" s="18">
        <f t="shared" si="247"/>
        <v>2951404.68</v>
      </c>
      <c r="I294" s="24">
        <f t="shared" si="239"/>
        <v>0.59202798970250681</v>
      </c>
      <c r="J294" s="10">
        <f t="shared" si="243"/>
        <v>11764.705882352941</v>
      </c>
      <c r="K294" s="4"/>
      <c r="L294" s="4">
        <f t="shared" si="257"/>
        <v>164705.88235294117</v>
      </c>
      <c r="M294" s="4">
        <f t="shared" si="248"/>
        <v>98872.7</v>
      </c>
      <c r="N294" s="16">
        <f t="shared" si="249"/>
        <v>0.60029853571428571</v>
      </c>
      <c r="O294" s="11">
        <v>0</v>
      </c>
      <c r="P294" s="4"/>
      <c r="Q294" s="4">
        <f t="shared" si="230"/>
        <v>0</v>
      </c>
      <c r="R294" s="4">
        <f t="shared" si="231"/>
        <v>68379.45</v>
      </c>
      <c r="S294" s="16" t="e">
        <f t="shared" si="260"/>
        <v>#DIV/0!</v>
      </c>
      <c r="T294" s="10">
        <f t="shared" si="244"/>
        <v>406940.3823529412</v>
      </c>
      <c r="U294" s="4"/>
      <c r="V294" s="4">
        <f t="shared" si="258"/>
        <v>5697165.3529411759</v>
      </c>
      <c r="W294" s="4">
        <f t="shared" si="250"/>
        <v>4957550.74</v>
      </c>
      <c r="X294" s="16">
        <f t="shared" si="251"/>
        <v>0.87017848927987529</v>
      </c>
      <c r="Y294" s="75">
        <f t="shared" si="245"/>
        <v>1176.4705882352941</v>
      </c>
      <c r="Z294" s="77"/>
      <c r="AA294" s="77">
        <f t="shared" si="259"/>
        <v>16470.588235294115</v>
      </c>
      <c r="AB294" s="77">
        <f t="shared" si="252"/>
        <v>20000</v>
      </c>
      <c r="AC294" s="78">
        <f t="shared" si="253"/>
        <v>1.2142857142857144</v>
      </c>
      <c r="AD294" s="14">
        <v>0</v>
      </c>
      <c r="AE294" s="3"/>
    </row>
    <row r="295" spans="1:31" ht="15.5" x14ac:dyDescent="0.35">
      <c r="A295" s="1">
        <v>2025</v>
      </c>
      <c r="B295" s="1">
        <v>4</v>
      </c>
      <c r="C295" s="2">
        <v>45931</v>
      </c>
      <c r="D295" s="2">
        <v>46022</v>
      </c>
      <c r="E295" s="21">
        <f t="shared" si="242"/>
        <v>356088.9411764706</v>
      </c>
      <c r="F295" s="18"/>
      <c r="G295" s="18">
        <f t="shared" si="246"/>
        <v>5341334.1176470574</v>
      </c>
      <c r="H295" s="18">
        <f t="shared" si="247"/>
        <v>2951404.68</v>
      </c>
      <c r="I295" s="24">
        <f t="shared" si="239"/>
        <v>0.552559457055673</v>
      </c>
      <c r="J295" s="10">
        <f t="shared" si="243"/>
        <v>11764.705882352941</v>
      </c>
      <c r="K295" s="4"/>
      <c r="L295" s="4">
        <f t="shared" si="257"/>
        <v>176470.58823529413</v>
      </c>
      <c r="M295" s="4">
        <f t="shared" si="248"/>
        <v>98872.7</v>
      </c>
      <c r="N295" s="16">
        <f t="shared" si="249"/>
        <v>0.56027863333333328</v>
      </c>
      <c r="O295" s="11">
        <v>0</v>
      </c>
      <c r="P295" s="4"/>
      <c r="Q295" s="4">
        <f t="shared" si="230"/>
        <v>0</v>
      </c>
      <c r="R295" s="4">
        <f t="shared" si="231"/>
        <v>68379.45</v>
      </c>
      <c r="S295" s="16" t="e">
        <f t="shared" si="260"/>
        <v>#DIV/0!</v>
      </c>
      <c r="T295" s="10">
        <f t="shared" si="244"/>
        <v>406940.3823529412</v>
      </c>
      <c r="U295" s="4"/>
      <c r="V295" s="4">
        <f t="shared" si="258"/>
        <v>6104105.7352941167</v>
      </c>
      <c r="W295" s="4">
        <f t="shared" si="250"/>
        <v>4957550.74</v>
      </c>
      <c r="X295" s="16">
        <f t="shared" si="251"/>
        <v>0.81216658999455038</v>
      </c>
      <c r="Y295" s="75">
        <f t="shared" si="245"/>
        <v>1176.4705882352941</v>
      </c>
      <c r="Z295" s="77"/>
      <c r="AA295" s="77">
        <f t="shared" si="259"/>
        <v>17647.058823529409</v>
      </c>
      <c r="AB295" s="77">
        <f t="shared" si="252"/>
        <v>20000</v>
      </c>
      <c r="AC295" s="78">
        <f t="shared" si="253"/>
        <v>1.1333333333333335</v>
      </c>
      <c r="AD295" s="14">
        <v>0</v>
      </c>
      <c r="AE295" s="3"/>
    </row>
    <row r="296" spans="1:31" ht="15.5" x14ac:dyDescent="0.35">
      <c r="A296" s="1">
        <v>2026</v>
      </c>
      <c r="B296" s="1">
        <v>1</v>
      </c>
      <c r="C296" s="2">
        <v>46023</v>
      </c>
      <c r="D296" s="2">
        <v>46112</v>
      </c>
      <c r="E296" s="21">
        <f t="shared" si="242"/>
        <v>356088.9411764706</v>
      </c>
      <c r="F296" s="18"/>
      <c r="G296" s="18">
        <f t="shared" si="246"/>
        <v>5697423.0588235278</v>
      </c>
      <c r="H296" s="18">
        <f t="shared" si="247"/>
        <v>2951404.68</v>
      </c>
      <c r="I296" s="24">
        <f>H296/G296</f>
        <v>0.51802449098969339</v>
      </c>
      <c r="J296" s="10">
        <f t="shared" si="243"/>
        <v>11764.705882352941</v>
      </c>
      <c r="K296" s="4"/>
      <c r="L296" s="4">
        <f t="shared" si="257"/>
        <v>188235.29411764708</v>
      </c>
      <c r="M296" s="4">
        <f t="shared" si="248"/>
        <v>98872.7</v>
      </c>
      <c r="N296" s="16">
        <f t="shared" si="249"/>
        <v>0.52526121874999998</v>
      </c>
      <c r="O296" s="11">
        <v>0</v>
      </c>
      <c r="P296" s="4"/>
      <c r="Q296" s="4">
        <f t="shared" si="230"/>
        <v>0</v>
      </c>
      <c r="R296" s="4">
        <f t="shared" si="231"/>
        <v>68379.45</v>
      </c>
      <c r="S296" s="16" t="e">
        <f t="shared" si="260"/>
        <v>#DIV/0!</v>
      </c>
      <c r="T296" s="10">
        <f t="shared" si="244"/>
        <v>406940.3823529412</v>
      </c>
      <c r="U296" s="4"/>
      <c r="V296" s="4">
        <f t="shared" si="258"/>
        <v>6511046.1176470574</v>
      </c>
      <c r="W296" s="4">
        <f t="shared" si="250"/>
        <v>4957550.74</v>
      </c>
      <c r="X296" s="16">
        <f t="shared" si="251"/>
        <v>0.76140617811989098</v>
      </c>
      <c r="Y296" s="75">
        <f t="shared" si="245"/>
        <v>1176.4705882352941</v>
      </c>
      <c r="Z296" s="77"/>
      <c r="AA296" s="77">
        <f t="shared" si="259"/>
        <v>18823.529411764703</v>
      </c>
      <c r="AB296" s="77">
        <f t="shared" si="252"/>
        <v>20000</v>
      </c>
      <c r="AC296" s="78">
        <f t="shared" si="253"/>
        <v>1.0625000000000002</v>
      </c>
      <c r="AD296" s="14">
        <v>0</v>
      </c>
      <c r="AE296" s="3"/>
    </row>
    <row r="297" spans="1:31" ht="15.5" x14ac:dyDescent="0.35">
      <c r="A297" s="1">
        <v>2026</v>
      </c>
      <c r="B297" s="1">
        <v>2</v>
      </c>
      <c r="C297" s="2">
        <v>46113</v>
      </c>
      <c r="D297" s="2">
        <v>46203</v>
      </c>
      <c r="E297" s="21">
        <f t="shared" si="242"/>
        <v>356088.9411764706</v>
      </c>
      <c r="F297" s="18"/>
      <c r="G297" s="18">
        <f t="shared" si="246"/>
        <v>6053511.9999999981</v>
      </c>
      <c r="H297" s="18">
        <f t="shared" si="247"/>
        <v>2951404.68</v>
      </c>
      <c r="I297" s="24">
        <f t="shared" ref="I297:I298" si="261">H297/G297</f>
        <v>0.48755246210794678</v>
      </c>
      <c r="J297" s="10">
        <f t="shared" si="243"/>
        <v>11764.705882352941</v>
      </c>
      <c r="K297" s="4"/>
      <c r="L297" s="4">
        <f t="shared" si="257"/>
        <v>200000.00000000003</v>
      </c>
      <c r="M297" s="4">
        <f t="shared" si="248"/>
        <v>98872.7</v>
      </c>
      <c r="N297" s="16">
        <f t="shared" si="249"/>
        <v>0.4943634999999999</v>
      </c>
      <c r="O297" s="11">
        <v>800000</v>
      </c>
      <c r="P297" s="4"/>
      <c r="Q297" s="4">
        <f t="shared" si="230"/>
        <v>800000</v>
      </c>
      <c r="R297" s="4">
        <f t="shared" si="231"/>
        <v>68379.45</v>
      </c>
      <c r="S297" s="16">
        <f t="shared" si="260"/>
        <v>8.5474312499999996E-2</v>
      </c>
      <c r="T297" s="10">
        <f t="shared" si="244"/>
        <v>406940.3823529412</v>
      </c>
      <c r="U297" s="4"/>
      <c r="V297" s="4">
        <f t="shared" si="258"/>
        <v>6917986.4999999981</v>
      </c>
      <c r="W297" s="4">
        <f t="shared" si="250"/>
        <v>4957550.74</v>
      </c>
      <c r="X297" s="16">
        <f t="shared" si="251"/>
        <v>0.71661757940695625</v>
      </c>
      <c r="Y297" s="75">
        <f t="shared" si="245"/>
        <v>1176.4705882352941</v>
      </c>
      <c r="Z297" s="77"/>
      <c r="AA297" s="77">
        <f t="shared" si="259"/>
        <v>19999.999999999996</v>
      </c>
      <c r="AB297" s="77">
        <f t="shared" si="252"/>
        <v>20000</v>
      </c>
      <c r="AC297" s="78">
        <f t="shared" si="253"/>
        <v>1.0000000000000002</v>
      </c>
      <c r="AD297" s="14">
        <v>40</v>
      </c>
      <c r="AE297" s="3"/>
    </row>
    <row r="298" spans="1:31" ht="15.5" x14ac:dyDescent="0.35">
      <c r="A298" s="1">
        <v>2026</v>
      </c>
      <c r="B298" s="1">
        <v>3</v>
      </c>
      <c r="C298" s="2">
        <v>46204</v>
      </c>
      <c r="D298" s="2">
        <v>46295</v>
      </c>
      <c r="E298" s="22">
        <v>0</v>
      </c>
      <c r="F298" s="18"/>
      <c r="G298" s="18">
        <f t="shared" si="246"/>
        <v>6053511.9999999981</v>
      </c>
      <c r="H298" s="18">
        <f>SUM(H297+F298)</f>
        <v>2951404.68</v>
      </c>
      <c r="I298" s="24">
        <f t="shared" si="261"/>
        <v>0.48755246210794678</v>
      </c>
      <c r="J298" s="11">
        <v>0</v>
      </c>
      <c r="K298" s="15"/>
      <c r="L298" s="15">
        <f t="shared" si="257"/>
        <v>200000.00000000003</v>
      </c>
      <c r="M298" s="15">
        <f t="shared" si="248"/>
        <v>98872.7</v>
      </c>
      <c r="N298" s="16">
        <f t="shared" si="249"/>
        <v>0.4943634999999999</v>
      </c>
      <c r="O298" s="11">
        <v>0</v>
      </c>
      <c r="P298" s="15"/>
      <c r="Q298" s="15">
        <f t="shared" si="230"/>
        <v>800000</v>
      </c>
      <c r="R298" s="15">
        <f t="shared" si="231"/>
        <v>68379.45</v>
      </c>
      <c r="S298" s="16">
        <f t="shared" si="260"/>
        <v>8.5474312499999996E-2</v>
      </c>
      <c r="T298" s="11">
        <v>0</v>
      </c>
      <c r="U298" s="15"/>
      <c r="V298" s="15">
        <f t="shared" si="258"/>
        <v>6917986.4999999981</v>
      </c>
      <c r="W298" s="15">
        <f t="shared" si="250"/>
        <v>4957550.74</v>
      </c>
      <c r="X298" s="16">
        <f t="shared" si="251"/>
        <v>0.71661757940695625</v>
      </c>
      <c r="Y298" s="75">
        <v>0</v>
      </c>
      <c r="Z298" s="132"/>
      <c r="AA298" s="132">
        <f t="shared" si="259"/>
        <v>19999.999999999996</v>
      </c>
      <c r="AB298" s="132">
        <f t="shared" si="252"/>
        <v>20000</v>
      </c>
      <c r="AC298" s="78">
        <f t="shared" si="253"/>
        <v>1.0000000000000002</v>
      </c>
      <c r="AD298" s="14"/>
      <c r="AE298" s="3"/>
    </row>
    <row r="299" spans="1:31" ht="15" thickBot="1" x14ac:dyDescent="0.4">
      <c r="A299" s="36" t="s">
        <v>12</v>
      </c>
      <c r="B299" s="36"/>
      <c r="C299" s="36"/>
      <c r="D299" s="37"/>
      <c r="E299" s="38">
        <f>5448160.8+605351.2</f>
        <v>6053512</v>
      </c>
      <c r="F299" s="34">
        <f>SUM(F275:F298)</f>
        <v>2951404.68</v>
      </c>
      <c r="G299" s="34">
        <f>G298</f>
        <v>6053511.9999999981</v>
      </c>
      <c r="H299" s="35">
        <f>H298</f>
        <v>2951404.68</v>
      </c>
      <c r="I299" s="146">
        <f>H299/G299</f>
        <v>0.48755246210794678</v>
      </c>
      <c r="J299" s="39">
        <v>200000</v>
      </c>
      <c r="K299" s="46">
        <f>SUM(K275:K298)</f>
        <v>98872.7</v>
      </c>
      <c r="L299" s="40">
        <f>L298</f>
        <v>200000.00000000003</v>
      </c>
      <c r="M299" s="41">
        <f>M298</f>
        <v>98872.7</v>
      </c>
      <c r="N299" s="42">
        <f>M299/L299</f>
        <v>0.4943634999999999</v>
      </c>
      <c r="O299" s="39">
        <v>1400000</v>
      </c>
      <c r="P299" s="46">
        <f>SUM(P275:P298)</f>
        <v>68379.45</v>
      </c>
      <c r="Q299" s="40">
        <f>Q298</f>
        <v>800000</v>
      </c>
      <c r="R299" s="41">
        <f>R298</f>
        <v>68379.45</v>
      </c>
      <c r="S299" s="42">
        <f t="shared" si="260"/>
        <v>8.5474312499999996E-2</v>
      </c>
      <c r="T299" s="39">
        <f>6226187.85+691798.65</f>
        <v>6917986.5</v>
      </c>
      <c r="U299" s="46">
        <f>SUM(U275:U298)</f>
        <v>4957550.74</v>
      </c>
      <c r="V299" s="40">
        <f>V298</f>
        <v>6917986.4999999981</v>
      </c>
      <c r="W299" s="41">
        <f>W298</f>
        <v>4957550.74</v>
      </c>
      <c r="X299" s="42">
        <f>W299/V299</f>
        <v>0.71661757940695625</v>
      </c>
      <c r="Y299" s="138">
        <v>20000</v>
      </c>
      <c r="Z299" s="139">
        <f>SUM(Z275:Z298)</f>
        <v>20000</v>
      </c>
      <c r="AA299" s="140">
        <f>AA298</f>
        <v>19999.999999999996</v>
      </c>
      <c r="AB299" s="141">
        <f>AB298</f>
        <v>20000</v>
      </c>
      <c r="AC299" s="142">
        <f>AB299/AA299</f>
        <v>1.0000000000000002</v>
      </c>
      <c r="AD299" s="43">
        <f>SUM(AD275:AD298)</f>
        <v>40</v>
      </c>
      <c r="AE299" s="43">
        <f>SUM(AE275:AE298)</f>
        <v>0</v>
      </c>
    </row>
    <row r="300" spans="1:31" ht="15" thickTop="1" x14ac:dyDescent="0.35">
      <c r="E300" s="33">
        <f>E299+J299+O299</f>
        <v>7653512</v>
      </c>
      <c r="T300" s="161">
        <f>T299+Y299</f>
        <v>6937986.5</v>
      </c>
    </row>
  </sheetData>
  <mergeCells count="69">
    <mergeCell ref="A2:U2"/>
    <mergeCell ref="A273:D273"/>
    <mergeCell ref="E273:I273"/>
    <mergeCell ref="J273:N273"/>
    <mergeCell ref="O273:S273"/>
    <mergeCell ref="T273:X273"/>
    <mergeCell ref="T3:U3"/>
    <mergeCell ref="O33:S33"/>
    <mergeCell ref="E123:I123"/>
    <mergeCell ref="J123:N123"/>
    <mergeCell ref="A182:U182"/>
    <mergeCell ref="A152:U152"/>
    <mergeCell ref="T153:U153"/>
    <mergeCell ref="O153:S153"/>
    <mergeCell ref="O183:S183"/>
    <mergeCell ref="A153:D153"/>
    <mergeCell ref="Y273:AC273"/>
    <mergeCell ref="AD273:AE273"/>
    <mergeCell ref="A272:AE272"/>
    <mergeCell ref="A242:U242"/>
    <mergeCell ref="A212:U212"/>
    <mergeCell ref="T243:U243"/>
    <mergeCell ref="O243:S243"/>
    <mergeCell ref="T213:U213"/>
    <mergeCell ref="A243:D243"/>
    <mergeCell ref="E243:I243"/>
    <mergeCell ref="J243:N243"/>
    <mergeCell ref="O213:S213"/>
    <mergeCell ref="A213:D213"/>
    <mergeCell ref="E213:I213"/>
    <mergeCell ref="J213:N213"/>
    <mergeCell ref="Y123:AC123"/>
    <mergeCell ref="T93:X93"/>
    <mergeCell ref="AD93:AE93"/>
    <mergeCell ref="A3:D3"/>
    <mergeCell ref="E3:I3"/>
    <mergeCell ref="J3:N3"/>
    <mergeCell ref="O3:S3"/>
    <mergeCell ref="A33:D33"/>
    <mergeCell ref="A92:AE92"/>
    <mergeCell ref="AD123:AE123"/>
    <mergeCell ref="O123:S123"/>
    <mergeCell ref="Y93:AC93"/>
    <mergeCell ref="O93:S93"/>
    <mergeCell ref="T123:X123"/>
    <mergeCell ref="A123:D123"/>
    <mergeCell ref="A32:AE32"/>
    <mergeCell ref="J153:N153"/>
    <mergeCell ref="A183:D183"/>
    <mergeCell ref="E183:I183"/>
    <mergeCell ref="J183:N183"/>
    <mergeCell ref="A63:D63"/>
    <mergeCell ref="E63:I63"/>
    <mergeCell ref="J63:N63"/>
    <mergeCell ref="A93:D93"/>
    <mergeCell ref="E93:I93"/>
    <mergeCell ref="J93:N93"/>
    <mergeCell ref="E153:I153"/>
    <mergeCell ref="A122:AE122"/>
    <mergeCell ref="T63:X63"/>
    <mergeCell ref="Y63:AC63"/>
    <mergeCell ref="AD63:AE63"/>
    <mergeCell ref="O63:S63"/>
    <mergeCell ref="E33:I33"/>
    <mergeCell ref="J33:N33"/>
    <mergeCell ref="A62:AE62"/>
    <mergeCell ref="T33:X33"/>
    <mergeCell ref="Y33:AC33"/>
    <mergeCell ref="AD33:AE3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007F-64A0-4EBE-BB8D-9A423E21B974}">
  <dimension ref="A1:AF269"/>
  <sheetViews>
    <sheetView zoomScale="70" zoomScaleNormal="70" workbookViewId="0">
      <selection activeCell="I229" sqref="I229"/>
    </sheetView>
  </sheetViews>
  <sheetFormatPr defaultRowHeight="14.5" x14ac:dyDescent="0.35"/>
  <cols>
    <col min="3" max="3" width="11.453125" customWidth="1"/>
    <col min="4" max="4" width="13" bestFit="1" customWidth="1"/>
    <col min="5" max="5" width="20.81640625" bestFit="1" customWidth="1"/>
    <col min="6" max="6" width="20.26953125" bestFit="1" customWidth="1"/>
    <col min="7" max="7" width="20.81640625" bestFit="1" customWidth="1"/>
    <col min="8" max="8" width="20.26953125" bestFit="1" customWidth="1"/>
    <col min="9" max="9" width="12.1796875" customWidth="1"/>
    <col min="10" max="10" width="17.7265625" bestFit="1" customWidth="1"/>
    <col min="11" max="11" width="16" customWidth="1"/>
    <col min="12" max="12" width="18.26953125" customWidth="1"/>
    <col min="13" max="13" width="18.453125" customWidth="1"/>
    <col min="15" max="15" width="19.54296875" customWidth="1"/>
    <col min="16" max="16" width="17.7265625" customWidth="1"/>
    <col min="17" max="17" width="19" customWidth="1"/>
    <col min="18" max="18" width="15.7265625" customWidth="1"/>
    <col min="19" max="19" width="15.1796875" customWidth="1"/>
    <col min="20" max="20" width="15.81640625" customWidth="1"/>
    <col min="21" max="21" width="12.26953125" customWidth="1"/>
    <col min="22" max="22" width="13.26953125" customWidth="1"/>
    <col min="27" max="27" width="12.54296875" customWidth="1"/>
    <col min="28" max="28" width="14.1796875" customWidth="1"/>
    <col min="29" max="29" width="15.26953125" customWidth="1"/>
    <col min="30" max="30" width="13.54296875" customWidth="1"/>
    <col min="31" max="31" width="11.7265625" customWidth="1"/>
    <col min="32" max="32" width="13.453125" customWidth="1"/>
  </cols>
  <sheetData>
    <row r="1" spans="1:31" x14ac:dyDescent="0.35">
      <c r="A1" s="198" t="s">
        <v>80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16"/>
      <c r="R1" s="116"/>
      <c r="S1" s="116"/>
      <c r="T1" s="116"/>
      <c r="U1" s="116"/>
      <c r="V1" s="116"/>
    </row>
    <row r="2" spans="1:31" ht="15" thickBot="1" x14ac:dyDescent="0.4">
      <c r="A2" s="202" t="s">
        <v>0</v>
      </c>
      <c r="B2" s="204"/>
      <c r="C2" s="204"/>
      <c r="D2" s="204"/>
      <c r="E2" s="193" t="s">
        <v>19</v>
      </c>
      <c r="F2" s="193"/>
      <c r="G2" s="193"/>
      <c r="H2" s="193"/>
      <c r="I2" s="194"/>
      <c r="J2" s="195" t="s">
        <v>20</v>
      </c>
      <c r="K2" s="196"/>
      <c r="L2" s="196"/>
      <c r="M2" s="196"/>
      <c r="N2" s="197"/>
      <c r="O2" s="12"/>
      <c r="P2" s="6"/>
    </row>
    <row r="3" spans="1:31" ht="58.5" thickTop="1" x14ac:dyDescent="0.35">
      <c r="A3" s="7" t="s">
        <v>1</v>
      </c>
      <c r="B3" s="7" t="s">
        <v>2</v>
      </c>
      <c r="C3" s="7" t="s">
        <v>3</v>
      </c>
      <c r="D3" s="9" t="s">
        <v>9</v>
      </c>
      <c r="E3" s="19" t="s">
        <v>4</v>
      </c>
      <c r="F3" s="20" t="s">
        <v>6</v>
      </c>
      <c r="G3" s="20" t="s">
        <v>5</v>
      </c>
      <c r="H3" s="20" t="s">
        <v>7</v>
      </c>
      <c r="I3" s="23" t="s">
        <v>8</v>
      </c>
      <c r="J3" s="25" t="s">
        <v>4</v>
      </c>
      <c r="K3" s="26" t="s">
        <v>6</v>
      </c>
      <c r="L3" s="26" t="s">
        <v>5</v>
      </c>
      <c r="M3" s="26" t="s">
        <v>7</v>
      </c>
      <c r="N3" s="27" t="s">
        <v>8</v>
      </c>
      <c r="O3" s="13" t="s">
        <v>10</v>
      </c>
      <c r="P3" s="8" t="s">
        <v>11</v>
      </c>
    </row>
    <row r="4" spans="1:31" ht="15.5" x14ac:dyDescent="0.35">
      <c r="A4" s="64">
        <v>2020</v>
      </c>
      <c r="B4" s="64">
        <v>4</v>
      </c>
      <c r="C4" s="65">
        <v>44105</v>
      </c>
      <c r="D4" s="65">
        <v>44196</v>
      </c>
      <c r="E4" s="66">
        <v>0</v>
      </c>
      <c r="F4" s="66">
        <v>0</v>
      </c>
      <c r="G4" s="66">
        <v>0</v>
      </c>
      <c r="H4" s="66">
        <v>0</v>
      </c>
      <c r="I4" s="67">
        <v>0</v>
      </c>
      <c r="J4" s="66">
        <v>0</v>
      </c>
      <c r="K4" s="66">
        <v>0</v>
      </c>
      <c r="L4" s="66">
        <v>0</v>
      </c>
      <c r="M4" s="66">
        <v>0</v>
      </c>
      <c r="N4" s="67">
        <v>0</v>
      </c>
      <c r="O4" s="68">
        <v>0</v>
      </c>
      <c r="P4" s="69">
        <v>0</v>
      </c>
    </row>
    <row r="5" spans="1:31" ht="15.5" x14ac:dyDescent="0.35">
      <c r="A5" s="64">
        <v>2021</v>
      </c>
      <c r="B5" s="64">
        <v>1</v>
      </c>
      <c r="C5" s="65">
        <v>44197</v>
      </c>
      <c r="D5" s="65">
        <v>44286</v>
      </c>
      <c r="E5" s="66">
        <v>0</v>
      </c>
      <c r="F5" s="66">
        <v>0</v>
      </c>
      <c r="G5" s="66">
        <v>0</v>
      </c>
      <c r="H5" s="66">
        <v>0</v>
      </c>
      <c r="I5" s="67">
        <v>0</v>
      </c>
      <c r="J5" s="66">
        <v>0</v>
      </c>
      <c r="K5" s="66">
        <v>0</v>
      </c>
      <c r="L5" s="66">
        <v>0</v>
      </c>
      <c r="M5" s="66">
        <v>0</v>
      </c>
      <c r="N5" s="67">
        <v>0</v>
      </c>
      <c r="O5" s="68">
        <v>0</v>
      </c>
      <c r="P5" s="69">
        <v>0</v>
      </c>
    </row>
    <row r="6" spans="1:31" s="108" customFormat="1" ht="15.5" x14ac:dyDescent="0.35">
      <c r="A6" s="89">
        <v>2021</v>
      </c>
      <c r="B6" s="89">
        <v>2</v>
      </c>
      <c r="C6" s="90">
        <v>44287</v>
      </c>
      <c r="D6" s="90">
        <v>44377</v>
      </c>
      <c r="E6" s="100"/>
      <c r="F6" s="92">
        <v>0</v>
      </c>
      <c r="G6" s="92">
        <f>E6</f>
        <v>0</v>
      </c>
      <c r="H6" s="92">
        <f>SUM(F6+0)</f>
        <v>0</v>
      </c>
      <c r="I6" s="101">
        <v>0</v>
      </c>
      <c r="J6" s="102"/>
      <c r="K6" s="103">
        <v>0</v>
      </c>
      <c r="L6" s="104">
        <f>J6</f>
        <v>0</v>
      </c>
      <c r="M6" s="103">
        <f>SUM(K6+0)</f>
        <v>0</v>
      </c>
      <c r="N6" s="105">
        <v>0</v>
      </c>
      <c r="O6" s="106">
        <v>0</v>
      </c>
      <c r="P6" s="107">
        <v>0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15.5" x14ac:dyDescent="0.35">
      <c r="A7" s="64">
        <v>2021</v>
      </c>
      <c r="B7" s="64">
        <v>3</v>
      </c>
      <c r="C7" s="65">
        <v>44378</v>
      </c>
      <c r="D7" s="65">
        <v>44469</v>
      </c>
      <c r="E7" s="100">
        <f>$E$28/14</f>
        <v>263099.28571428574</v>
      </c>
      <c r="F7" s="73"/>
      <c r="G7" s="73">
        <f t="shared" ref="G7:G8" si="0">G6+E7</f>
        <v>263099.28571428574</v>
      </c>
      <c r="H7" s="73">
        <f t="shared" ref="H7:H11" si="1">SUM(H6+F7)</f>
        <v>0</v>
      </c>
      <c r="I7" s="74">
        <v>0</v>
      </c>
      <c r="J7" s="102">
        <f>$J$28/14</f>
        <v>9285.7142857142862</v>
      </c>
      <c r="K7" s="76">
        <v>0</v>
      </c>
      <c r="L7" s="76">
        <f>L6+J7</f>
        <v>9285.7142857142862</v>
      </c>
      <c r="M7" s="76">
        <f>SUM(M6+K7)</f>
        <v>0</v>
      </c>
      <c r="N7" s="78">
        <v>0</v>
      </c>
      <c r="O7" s="68">
        <v>0</v>
      </c>
      <c r="P7" s="69">
        <v>0</v>
      </c>
    </row>
    <row r="8" spans="1:31" ht="15.5" x14ac:dyDescent="0.35">
      <c r="A8" s="64">
        <v>2022</v>
      </c>
      <c r="B8" s="64">
        <v>4</v>
      </c>
      <c r="C8" s="65">
        <v>44470</v>
      </c>
      <c r="D8" s="65">
        <v>44561</v>
      </c>
      <c r="E8" s="100">
        <f t="shared" ref="E8:E20" si="2">$E$28/14</f>
        <v>263099.28571428574</v>
      </c>
      <c r="F8" s="73"/>
      <c r="G8" s="73">
        <f t="shared" si="0"/>
        <v>526198.57142857148</v>
      </c>
      <c r="H8" s="73">
        <f t="shared" si="1"/>
        <v>0</v>
      </c>
      <c r="I8" s="74">
        <f t="shared" ref="I8:I24" si="3">H8/G8</f>
        <v>0</v>
      </c>
      <c r="J8" s="102">
        <f t="shared" ref="J8:J20" si="4">$J$28/14</f>
        <v>9285.7142857142862</v>
      </c>
      <c r="K8" s="76"/>
      <c r="L8" s="76">
        <f t="shared" ref="L8:L11" si="5">L7+J8</f>
        <v>18571.428571428572</v>
      </c>
      <c r="M8" s="76">
        <f t="shared" ref="M8:M10" si="6">SUM(M7+K8)</f>
        <v>0</v>
      </c>
      <c r="N8" s="78">
        <f t="shared" ref="N8:N11" si="7">M8/L8</f>
        <v>0</v>
      </c>
      <c r="O8" s="68">
        <v>0</v>
      </c>
      <c r="P8" s="69">
        <v>0</v>
      </c>
    </row>
    <row r="9" spans="1:31" ht="15.5" x14ac:dyDescent="0.35">
      <c r="A9" s="64">
        <v>2022</v>
      </c>
      <c r="B9" s="64">
        <v>1</v>
      </c>
      <c r="C9" s="65">
        <v>44562</v>
      </c>
      <c r="D9" s="65">
        <v>44651</v>
      </c>
      <c r="E9" s="100">
        <f t="shared" si="2"/>
        <v>263099.28571428574</v>
      </c>
      <c r="F9" s="73"/>
      <c r="G9" s="73">
        <f>G8+E9</f>
        <v>789297.85714285728</v>
      </c>
      <c r="H9" s="73">
        <f t="shared" si="1"/>
        <v>0</v>
      </c>
      <c r="I9" s="74">
        <f t="shared" si="3"/>
        <v>0</v>
      </c>
      <c r="J9" s="102">
        <f t="shared" si="4"/>
        <v>9285.7142857142862</v>
      </c>
      <c r="K9" s="76">
        <v>8438</v>
      </c>
      <c r="L9" s="76">
        <f t="shared" si="5"/>
        <v>27857.142857142859</v>
      </c>
      <c r="M9" s="76">
        <f t="shared" si="6"/>
        <v>8438</v>
      </c>
      <c r="N9" s="78">
        <f t="shared" si="7"/>
        <v>0.30290256410256411</v>
      </c>
      <c r="O9" s="68">
        <v>0</v>
      </c>
      <c r="P9" s="69">
        <v>0</v>
      </c>
    </row>
    <row r="10" spans="1:31" ht="15.5" x14ac:dyDescent="0.35">
      <c r="A10" s="64">
        <v>2022</v>
      </c>
      <c r="B10" s="64">
        <v>2</v>
      </c>
      <c r="C10" s="65">
        <v>44652</v>
      </c>
      <c r="D10" s="65">
        <v>44742</v>
      </c>
      <c r="E10" s="100">
        <f t="shared" si="2"/>
        <v>263099.28571428574</v>
      </c>
      <c r="F10" s="73"/>
      <c r="G10" s="73">
        <f t="shared" ref="G10:G11" si="8">G9+E10</f>
        <v>1052397.142857143</v>
      </c>
      <c r="H10" s="73">
        <f t="shared" si="1"/>
        <v>0</v>
      </c>
      <c r="I10" s="74">
        <f t="shared" si="3"/>
        <v>0</v>
      </c>
      <c r="J10" s="102">
        <f t="shared" si="4"/>
        <v>9285.7142857142862</v>
      </c>
      <c r="K10" s="76"/>
      <c r="L10" s="76">
        <f t="shared" si="5"/>
        <v>37142.857142857145</v>
      </c>
      <c r="M10" s="76">
        <f t="shared" si="6"/>
        <v>8438</v>
      </c>
      <c r="N10" s="78">
        <f t="shared" si="7"/>
        <v>0.22717692307692305</v>
      </c>
      <c r="O10" s="68">
        <v>0</v>
      </c>
      <c r="P10" s="69">
        <v>0</v>
      </c>
    </row>
    <row r="11" spans="1:31" ht="15.5" x14ac:dyDescent="0.35">
      <c r="A11" s="64">
        <v>2022</v>
      </c>
      <c r="B11" s="64">
        <v>3</v>
      </c>
      <c r="C11" s="65">
        <v>44743</v>
      </c>
      <c r="D11" s="65">
        <v>44834</v>
      </c>
      <c r="E11" s="100">
        <f t="shared" si="2"/>
        <v>263099.28571428574</v>
      </c>
      <c r="F11" s="73">
        <v>21366</v>
      </c>
      <c r="G11" s="73">
        <f t="shared" si="8"/>
        <v>1315496.4285714286</v>
      </c>
      <c r="H11" s="73">
        <f t="shared" si="1"/>
        <v>21366</v>
      </c>
      <c r="I11" s="74">
        <f t="shared" si="3"/>
        <v>1.6241777275824716E-2</v>
      </c>
      <c r="J11" s="102">
        <f t="shared" si="4"/>
        <v>9285.7142857142862</v>
      </c>
      <c r="K11" s="76">
        <v>11778</v>
      </c>
      <c r="L11" s="76">
        <f t="shared" si="5"/>
        <v>46428.571428571435</v>
      </c>
      <c r="M11" s="76">
        <f>SUM(M10+K11)</f>
        <v>20216</v>
      </c>
      <c r="N11" s="78">
        <f t="shared" si="7"/>
        <v>0.43542153846153842</v>
      </c>
      <c r="O11" s="68">
        <v>0</v>
      </c>
      <c r="P11" s="69">
        <v>0</v>
      </c>
    </row>
    <row r="12" spans="1:31" ht="15.5" x14ac:dyDescent="0.35">
      <c r="A12" s="64">
        <v>2022</v>
      </c>
      <c r="B12" s="64">
        <v>4</v>
      </c>
      <c r="C12" s="65">
        <v>44835</v>
      </c>
      <c r="D12" s="65">
        <v>44926</v>
      </c>
      <c r="E12" s="100">
        <f t="shared" si="2"/>
        <v>263099.28571428574</v>
      </c>
      <c r="F12" s="73">
        <v>115500</v>
      </c>
      <c r="G12" s="73">
        <f>G11+E12</f>
        <v>1578595.7142857143</v>
      </c>
      <c r="H12" s="73">
        <f>SUM(H11+F12)</f>
        <v>136866</v>
      </c>
      <c r="I12" s="74">
        <f t="shared" si="3"/>
        <v>8.6701109575689786E-2</v>
      </c>
      <c r="J12" s="102">
        <f t="shared" si="4"/>
        <v>9285.7142857142862</v>
      </c>
      <c r="K12" s="76">
        <v>3452</v>
      </c>
      <c r="L12" s="76">
        <f>L11+J12</f>
        <v>55714.285714285725</v>
      </c>
      <c r="M12" s="76">
        <f>SUM(M11+K12)</f>
        <v>23668</v>
      </c>
      <c r="N12" s="78">
        <f>M12/L12</f>
        <v>0.42481025641025633</v>
      </c>
      <c r="O12" s="68">
        <v>0</v>
      </c>
      <c r="P12" s="69">
        <v>0</v>
      </c>
    </row>
    <row r="13" spans="1:31" ht="15.5" x14ac:dyDescent="0.35">
      <c r="A13" s="64">
        <v>2023</v>
      </c>
      <c r="B13" s="64">
        <v>1</v>
      </c>
      <c r="C13" s="65">
        <v>44927</v>
      </c>
      <c r="D13" s="65">
        <v>45016</v>
      </c>
      <c r="E13" s="100">
        <f t="shared" si="2"/>
        <v>263099.28571428574</v>
      </c>
      <c r="F13" s="73"/>
      <c r="G13" s="73">
        <f t="shared" ref="G13:G27" si="9">G12+E13</f>
        <v>1841695</v>
      </c>
      <c r="H13" s="73">
        <f t="shared" ref="H13:H26" si="10">SUM(H12+F13)</f>
        <v>136866</v>
      </c>
      <c r="I13" s="74">
        <f t="shared" si="3"/>
        <v>7.4315236779162672E-2</v>
      </c>
      <c r="J13" s="102">
        <f t="shared" si="4"/>
        <v>9285.7142857142862</v>
      </c>
      <c r="K13" s="76"/>
      <c r="L13" s="76">
        <f>L12+J13</f>
        <v>65000.000000000015</v>
      </c>
      <c r="M13" s="76">
        <f t="shared" ref="M13:M27" si="11">SUM(M12+K13)</f>
        <v>23668</v>
      </c>
      <c r="N13" s="78">
        <f t="shared" ref="N13:N27" si="12">M13/L13</f>
        <v>0.36412307692307683</v>
      </c>
      <c r="O13" s="68">
        <v>0</v>
      </c>
      <c r="P13" s="69">
        <v>0</v>
      </c>
    </row>
    <row r="14" spans="1:31" ht="15.5" x14ac:dyDescent="0.35">
      <c r="A14" s="64">
        <v>2023</v>
      </c>
      <c r="B14" s="64">
        <v>2</v>
      </c>
      <c r="C14" s="65">
        <v>45017</v>
      </c>
      <c r="D14" s="65">
        <v>45107</v>
      </c>
      <c r="E14" s="100">
        <f t="shared" si="2"/>
        <v>263099.28571428574</v>
      </c>
      <c r="F14" s="73">
        <v>48251</v>
      </c>
      <c r="G14" s="73">
        <f t="shared" si="9"/>
        <v>2104794.2857142859</v>
      </c>
      <c r="H14" s="73">
        <f t="shared" si="10"/>
        <v>185117</v>
      </c>
      <c r="I14" s="74">
        <f t="shared" si="3"/>
        <v>8.7950162757677017E-2</v>
      </c>
      <c r="J14" s="102">
        <f t="shared" si="4"/>
        <v>9285.7142857142862</v>
      </c>
      <c r="K14" s="76">
        <v>27616</v>
      </c>
      <c r="L14" s="76">
        <f t="shared" ref="L14" si="13">L13+J14</f>
        <v>74285.714285714304</v>
      </c>
      <c r="M14" s="76">
        <f t="shared" si="11"/>
        <v>51284</v>
      </c>
      <c r="N14" s="78">
        <f t="shared" si="12"/>
        <v>0.69036153846153825</v>
      </c>
      <c r="O14" s="68">
        <v>0</v>
      </c>
      <c r="P14" s="69">
        <v>0</v>
      </c>
    </row>
    <row r="15" spans="1:31" ht="15.5" x14ac:dyDescent="0.35">
      <c r="A15" s="64">
        <v>2023</v>
      </c>
      <c r="B15" s="64">
        <v>3</v>
      </c>
      <c r="C15" s="65">
        <v>45108</v>
      </c>
      <c r="D15" s="65">
        <v>45199</v>
      </c>
      <c r="E15" s="100">
        <f t="shared" si="2"/>
        <v>263099.28571428574</v>
      </c>
      <c r="F15" s="73">
        <v>114375.52</v>
      </c>
      <c r="G15" s="73">
        <f t="shared" si="9"/>
        <v>2367893.5714285718</v>
      </c>
      <c r="H15" s="73">
        <f t="shared" si="10"/>
        <v>299492.52</v>
      </c>
      <c r="I15" s="74">
        <f t="shared" si="3"/>
        <v>0.12648056636232743</v>
      </c>
      <c r="J15" s="102">
        <f t="shared" si="4"/>
        <v>9285.7142857142862</v>
      </c>
      <c r="K15" s="76"/>
      <c r="L15" s="76">
        <f>L14+J15</f>
        <v>83571.428571428594</v>
      </c>
      <c r="M15" s="76">
        <f t="shared" si="11"/>
        <v>51284</v>
      </c>
      <c r="N15" s="78">
        <f t="shared" si="12"/>
        <v>0.61365470085470064</v>
      </c>
      <c r="O15" s="68">
        <v>0</v>
      </c>
      <c r="P15" s="69">
        <v>0</v>
      </c>
    </row>
    <row r="16" spans="1:31" ht="15.5" x14ac:dyDescent="0.35">
      <c r="A16" s="64">
        <v>2023</v>
      </c>
      <c r="B16" s="64">
        <v>4</v>
      </c>
      <c r="C16" s="65">
        <v>45200</v>
      </c>
      <c r="D16" s="65">
        <v>45291</v>
      </c>
      <c r="E16" s="100">
        <f t="shared" si="2"/>
        <v>263099.28571428574</v>
      </c>
      <c r="F16" s="73">
        <v>188899.09</v>
      </c>
      <c r="G16" s="73">
        <f t="shared" si="9"/>
        <v>2630992.8571428577</v>
      </c>
      <c r="H16" s="73">
        <f t="shared" si="10"/>
        <v>488391.61</v>
      </c>
      <c r="I16" s="74">
        <f t="shared" si="3"/>
        <v>0.18563015428721907</v>
      </c>
      <c r="J16" s="102">
        <f t="shared" si="4"/>
        <v>9285.7142857142862</v>
      </c>
      <c r="K16" s="76">
        <v>0</v>
      </c>
      <c r="L16" s="76">
        <f t="shared" ref="L16:L27" si="14">L15+J16</f>
        <v>92857.142857142884</v>
      </c>
      <c r="M16" s="76">
        <f t="shared" si="11"/>
        <v>51284</v>
      </c>
      <c r="N16" s="78">
        <f t="shared" si="12"/>
        <v>0.55228923076923064</v>
      </c>
      <c r="O16" s="68">
        <v>0</v>
      </c>
      <c r="P16" s="69">
        <v>0</v>
      </c>
    </row>
    <row r="17" spans="1:22" ht="15.5" x14ac:dyDescent="0.35">
      <c r="A17" s="64">
        <v>2024</v>
      </c>
      <c r="B17" s="64">
        <v>1</v>
      </c>
      <c r="C17" s="65">
        <v>45292</v>
      </c>
      <c r="D17" s="65">
        <v>45382</v>
      </c>
      <c r="E17" s="100">
        <f t="shared" si="2"/>
        <v>263099.28571428574</v>
      </c>
      <c r="F17" s="73">
        <v>704180.78</v>
      </c>
      <c r="G17" s="73">
        <f t="shared" si="9"/>
        <v>2894092.1428571437</v>
      </c>
      <c r="H17" s="73">
        <f t="shared" si="10"/>
        <v>1192572.3900000001</v>
      </c>
      <c r="I17" s="74">
        <f t="shared" si="3"/>
        <v>0.41207132708036487</v>
      </c>
      <c r="J17" s="102">
        <f t="shared" si="4"/>
        <v>9285.7142857142862</v>
      </c>
      <c r="K17" s="76">
        <v>0</v>
      </c>
      <c r="L17" s="76">
        <f t="shared" si="14"/>
        <v>102142.85714285717</v>
      </c>
      <c r="M17" s="76">
        <f t="shared" si="11"/>
        <v>51284</v>
      </c>
      <c r="N17" s="78">
        <f t="shared" si="12"/>
        <v>0.50208111888111873</v>
      </c>
      <c r="O17" s="68">
        <v>0</v>
      </c>
      <c r="P17" s="69">
        <v>0</v>
      </c>
    </row>
    <row r="18" spans="1:22" ht="15.5" x14ac:dyDescent="0.35">
      <c r="A18" s="64">
        <v>2024</v>
      </c>
      <c r="B18" s="64">
        <v>2</v>
      </c>
      <c r="C18" s="65">
        <v>45383</v>
      </c>
      <c r="D18" s="65">
        <v>45473</v>
      </c>
      <c r="E18" s="72">
        <f t="shared" si="2"/>
        <v>263099.28571428574</v>
      </c>
      <c r="F18" s="73">
        <v>718504.85</v>
      </c>
      <c r="G18" s="73">
        <f t="shared" si="9"/>
        <v>3157191.4285714296</v>
      </c>
      <c r="H18" s="73">
        <f t="shared" si="10"/>
        <v>1911077.2400000002</v>
      </c>
      <c r="I18" s="74">
        <f t="shared" si="3"/>
        <v>0.60530927035511661</v>
      </c>
      <c r="J18" s="75">
        <f t="shared" si="4"/>
        <v>9285.7142857142862</v>
      </c>
      <c r="K18" s="76">
        <v>0</v>
      </c>
      <c r="L18" s="76">
        <f t="shared" si="14"/>
        <v>111428.57142857146</v>
      </c>
      <c r="M18" s="76">
        <f t="shared" si="11"/>
        <v>51284</v>
      </c>
      <c r="N18" s="78">
        <f t="shared" si="12"/>
        <v>0.46024102564102548</v>
      </c>
      <c r="O18" s="68">
        <v>0</v>
      </c>
      <c r="P18" s="69">
        <v>0</v>
      </c>
    </row>
    <row r="19" spans="1:22" ht="15.5" x14ac:dyDescent="0.35">
      <c r="A19" s="64">
        <v>2024</v>
      </c>
      <c r="B19" s="64">
        <v>3</v>
      </c>
      <c r="C19" s="65">
        <v>45474</v>
      </c>
      <c r="D19" s="65">
        <v>45565</v>
      </c>
      <c r="E19" s="72">
        <f t="shared" si="2"/>
        <v>263099.28571428574</v>
      </c>
      <c r="F19" s="73">
        <v>1403973.76</v>
      </c>
      <c r="G19" s="73">
        <f t="shared" si="9"/>
        <v>3420290.7142857155</v>
      </c>
      <c r="H19" s="73">
        <f t="shared" si="10"/>
        <v>3315051</v>
      </c>
      <c r="I19" s="128">
        <f t="shared" si="3"/>
        <v>0.9692307692307689</v>
      </c>
      <c r="J19" s="75">
        <f t="shared" si="4"/>
        <v>9285.7142857142862</v>
      </c>
      <c r="K19" s="77">
        <v>0</v>
      </c>
      <c r="L19" s="77">
        <f t="shared" si="14"/>
        <v>120714.28571428575</v>
      </c>
      <c r="M19" s="77">
        <f t="shared" si="11"/>
        <v>51284</v>
      </c>
      <c r="N19" s="78">
        <f t="shared" si="12"/>
        <v>0.42483786982248506</v>
      </c>
      <c r="O19" s="131">
        <v>0</v>
      </c>
      <c r="P19" s="130">
        <v>0</v>
      </c>
    </row>
    <row r="20" spans="1:22" ht="15.5" x14ac:dyDescent="0.35">
      <c r="A20" s="1">
        <v>2024</v>
      </c>
      <c r="B20" s="1">
        <v>4</v>
      </c>
      <c r="C20" s="2">
        <v>45566</v>
      </c>
      <c r="D20" s="2">
        <v>45657</v>
      </c>
      <c r="E20" s="21">
        <f t="shared" si="2"/>
        <v>263099.28571428574</v>
      </c>
      <c r="F20" s="17"/>
      <c r="G20" s="17">
        <f t="shared" si="9"/>
        <v>3683390.0000000014</v>
      </c>
      <c r="H20" s="17">
        <f t="shared" si="10"/>
        <v>3315051</v>
      </c>
      <c r="I20" s="124">
        <f t="shared" si="3"/>
        <v>0.89999999999999969</v>
      </c>
      <c r="J20" s="10">
        <f t="shared" si="4"/>
        <v>9285.7142857142862</v>
      </c>
      <c r="K20" s="4"/>
      <c r="L20" s="4">
        <f t="shared" si="14"/>
        <v>130000.00000000004</v>
      </c>
      <c r="M20" s="4">
        <f t="shared" si="11"/>
        <v>51284</v>
      </c>
      <c r="N20" s="16">
        <f t="shared" si="12"/>
        <v>0.39449230769230759</v>
      </c>
      <c r="O20" s="14">
        <v>26</v>
      </c>
      <c r="P20" s="3"/>
    </row>
    <row r="21" spans="1:22" ht="15.5" x14ac:dyDescent="0.35">
      <c r="A21" s="1">
        <v>2025</v>
      </c>
      <c r="B21" s="1">
        <v>1</v>
      </c>
      <c r="C21" s="2">
        <v>45658</v>
      </c>
      <c r="D21" s="2">
        <v>45747</v>
      </c>
      <c r="E21" s="22">
        <v>0</v>
      </c>
      <c r="F21" s="18"/>
      <c r="G21" s="18">
        <f t="shared" si="9"/>
        <v>3683390.0000000014</v>
      </c>
      <c r="H21" s="18">
        <f t="shared" si="10"/>
        <v>3315051</v>
      </c>
      <c r="I21" s="24">
        <f t="shared" si="3"/>
        <v>0.89999999999999969</v>
      </c>
      <c r="J21" s="11">
        <v>0</v>
      </c>
      <c r="K21" s="4"/>
      <c r="L21" s="4">
        <f t="shared" si="14"/>
        <v>130000.00000000004</v>
      </c>
      <c r="M21" s="4">
        <f t="shared" si="11"/>
        <v>51284</v>
      </c>
      <c r="N21" s="16">
        <f t="shared" si="12"/>
        <v>0.39449230769230759</v>
      </c>
      <c r="O21" s="14"/>
      <c r="P21" s="3"/>
    </row>
    <row r="22" spans="1:22" ht="15.5" x14ac:dyDescent="0.35">
      <c r="A22" s="1">
        <v>2025</v>
      </c>
      <c r="B22" s="1">
        <v>2</v>
      </c>
      <c r="C22" s="2">
        <v>45748</v>
      </c>
      <c r="D22" s="2">
        <v>45838</v>
      </c>
      <c r="E22" s="22">
        <v>0</v>
      </c>
      <c r="F22" s="18"/>
      <c r="G22" s="18">
        <f t="shared" si="9"/>
        <v>3683390.0000000014</v>
      </c>
      <c r="H22" s="18">
        <f t="shared" si="10"/>
        <v>3315051</v>
      </c>
      <c r="I22" s="24">
        <f t="shared" si="3"/>
        <v>0.89999999999999969</v>
      </c>
      <c r="J22" s="11">
        <v>0</v>
      </c>
      <c r="K22" s="4"/>
      <c r="L22" s="4">
        <f t="shared" si="14"/>
        <v>130000.00000000004</v>
      </c>
      <c r="M22" s="4">
        <f t="shared" si="11"/>
        <v>51284</v>
      </c>
      <c r="N22" s="16">
        <f t="shared" si="12"/>
        <v>0.39449230769230759</v>
      </c>
      <c r="O22" s="14"/>
      <c r="P22" s="3"/>
    </row>
    <row r="23" spans="1:22" ht="15.5" x14ac:dyDescent="0.35">
      <c r="A23" s="1">
        <v>2025</v>
      </c>
      <c r="B23" s="1">
        <v>3</v>
      </c>
      <c r="C23" s="2">
        <v>45839</v>
      </c>
      <c r="D23" s="2">
        <v>45930</v>
      </c>
      <c r="E23" s="22">
        <v>0</v>
      </c>
      <c r="F23" s="18"/>
      <c r="G23" s="18">
        <f t="shared" si="9"/>
        <v>3683390.0000000014</v>
      </c>
      <c r="H23" s="18">
        <f t="shared" si="10"/>
        <v>3315051</v>
      </c>
      <c r="I23" s="24">
        <f t="shared" si="3"/>
        <v>0.89999999999999969</v>
      </c>
      <c r="J23" s="11">
        <v>0</v>
      </c>
      <c r="K23" s="4"/>
      <c r="L23" s="4">
        <f t="shared" si="14"/>
        <v>130000.00000000004</v>
      </c>
      <c r="M23" s="4">
        <f t="shared" si="11"/>
        <v>51284</v>
      </c>
      <c r="N23" s="16">
        <f t="shared" si="12"/>
        <v>0.39449230769230759</v>
      </c>
      <c r="O23" s="14"/>
      <c r="P23" s="3"/>
    </row>
    <row r="24" spans="1:22" ht="15.5" x14ac:dyDescent="0.35">
      <c r="A24" s="1">
        <v>2025</v>
      </c>
      <c r="B24" s="1">
        <v>4</v>
      </c>
      <c r="C24" s="2">
        <v>45931</v>
      </c>
      <c r="D24" s="2">
        <v>46022</v>
      </c>
      <c r="E24" s="22">
        <v>0</v>
      </c>
      <c r="F24" s="18"/>
      <c r="G24" s="18">
        <f t="shared" si="9"/>
        <v>3683390.0000000014</v>
      </c>
      <c r="H24" s="18">
        <f t="shared" si="10"/>
        <v>3315051</v>
      </c>
      <c r="I24" s="24">
        <f t="shared" si="3"/>
        <v>0.89999999999999969</v>
      </c>
      <c r="J24" s="11">
        <v>0</v>
      </c>
      <c r="K24" s="4"/>
      <c r="L24" s="4">
        <f t="shared" si="14"/>
        <v>130000.00000000004</v>
      </c>
      <c r="M24" s="4">
        <f t="shared" si="11"/>
        <v>51284</v>
      </c>
      <c r="N24" s="16">
        <f t="shared" si="12"/>
        <v>0.39449230769230759</v>
      </c>
      <c r="O24" s="14"/>
      <c r="P24" s="3"/>
    </row>
    <row r="25" spans="1:22" ht="15.5" x14ac:dyDescent="0.35">
      <c r="A25" s="1">
        <v>2026</v>
      </c>
      <c r="B25" s="1">
        <v>1</v>
      </c>
      <c r="C25" s="2">
        <v>46023</v>
      </c>
      <c r="D25" s="2">
        <v>46112</v>
      </c>
      <c r="E25" s="22">
        <v>0</v>
      </c>
      <c r="F25" s="18"/>
      <c r="G25" s="18">
        <f t="shared" si="9"/>
        <v>3683390.0000000014</v>
      </c>
      <c r="H25" s="18">
        <f t="shared" si="10"/>
        <v>3315051</v>
      </c>
      <c r="I25" s="24">
        <f>H25/G25</f>
        <v>0.89999999999999969</v>
      </c>
      <c r="J25" s="11">
        <v>0</v>
      </c>
      <c r="K25" s="4"/>
      <c r="L25" s="4">
        <f t="shared" si="14"/>
        <v>130000.00000000004</v>
      </c>
      <c r="M25" s="4">
        <f t="shared" si="11"/>
        <v>51284</v>
      </c>
      <c r="N25" s="16">
        <f t="shared" si="12"/>
        <v>0.39449230769230759</v>
      </c>
      <c r="O25" s="14"/>
      <c r="P25" s="3"/>
    </row>
    <row r="26" spans="1:22" ht="15.5" x14ac:dyDescent="0.35">
      <c r="A26" s="1">
        <v>2026</v>
      </c>
      <c r="B26" s="1">
        <v>2</v>
      </c>
      <c r="C26" s="2">
        <v>46113</v>
      </c>
      <c r="D26" s="2">
        <v>46203</v>
      </c>
      <c r="E26" s="22">
        <v>0</v>
      </c>
      <c r="F26" s="18"/>
      <c r="G26" s="18">
        <f t="shared" si="9"/>
        <v>3683390.0000000014</v>
      </c>
      <c r="H26" s="18">
        <f t="shared" si="10"/>
        <v>3315051</v>
      </c>
      <c r="I26" s="24">
        <f t="shared" ref="I26:I27" si="15">H26/G26</f>
        <v>0.89999999999999969</v>
      </c>
      <c r="J26" s="11">
        <v>0</v>
      </c>
      <c r="K26" s="4"/>
      <c r="L26" s="4">
        <f t="shared" si="14"/>
        <v>130000.00000000004</v>
      </c>
      <c r="M26" s="4">
        <f t="shared" si="11"/>
        <v>51284</v>
      </c>
      <c r="N26" s="16">
        <f t="shared" si="12"/>
        <v>0.39449230769230759</v>
      </c>
      <c r="O26" s="14"/>
      <c r="P26" s="3"/>
    </row>
    <row r="27" spans="1:22" ht="15.5" x14ac:dyDescent="0.35">
      <c r="A27" s="1">
        <v>2026</v>
      </c>
      <c r="B27" s="1">
        <v>3</v>
      </c>
      <c r="C27" s="2">
        <v>46204</v>
      </c>
      <c r="D27" s="2">
        <v>46295</v>
      </c>
      <c r="E27" s="22">
        <v>0</v>
      </c>
      <c r="F27" s="18"/>
      <c r="G27" s="18">
        <f t="shared" si="9"/>
        <v>3683390.0000000014</v>
      </c>
      <c r="H27" s="18">
        <f>SUM(H26+F27)</f>
        <v>3315051</v>
      </c>
      <c r="I27" s="24">
        <f t="shared" si="15"/>
        <v>0.89999999999999969</v>
      </c>
      <c r="J27" s="11">
        <v>0</v>
      </c>
      <c r="K27" s="15"/>
      <c r="L27" s="15">
        <f t="shared" si="14"/>
        <v>130000.00000000004</v>
      </c>
      <c r="M27" s="15">
        <f t="shared" si="11"/>
        <v>51284</v>
      </c>
      <c r="N27" s="16">
        <f t="shared" si="12"/>
        <v>0.39449230769230759</v>
      </c>
      <c r="O27" s="14"/>
      <c r="P27" s="3"/>
    </row>
    <row r="28" spans="1:22" ht="15" thickBot="1" x14ac:dyDescent="0.4">
      <c r="A28" s="36" t="s">
        <v>12</v>
      </c>
      <c r="B28" s="36"/>
      <c r="C28" s="36"/>
      <c r="D28" s="37"/>
      <c r="E28" s="38">
        <f>3315051+368339</f>
        <v>3683390</v>
      </c>
      <c r="F28" s="34">
        <f>SUM(F4:F27)</f>
        <v>3315051</v>
      </c>
      <c r="G28" s="34">
        <f>G27</f>
        <v>3683390.0000000014</v>
      </c>
      <c r="H28" s="35">
        <f>H27</f>
        <v>3315051</v>
      </c>
      <c r="I28" s="45">
        <f>H28/G28</f>
        <v>0.89999999999999969</v>
      </c>
      <c r="J28" s="39">
        <v>130000</v>
      </c>
      <c r="K28" s="46">
        <f>SUM(K4:K27)</f>
        <v>51284</v>
      </c>
      <c r="L28" s="40">
        <f>L27</f>
        <v>130000.00000000004</v>
      </c>
      <c r="M28" s="41">
        <f>M27</f>
        <v>51284</v>
      </c>
      <c r="N28" s="42">
        <f>M28/L28</f>
        <v>0.39449230769230759</v>
      </c>
      <c r="O28" s="43">
        <f>SUM(O4:O27)</f>
        <v>26</v>
      </c>
      <c r="P28" s="43">
        <f>SUM(P4:P27)</f>
        <v>0</v>
      </c>
    </row>
    <row r="29" spans="1:22" ht="15" thickTop="1" x14ac:dyDescent="0.35">
      <c r="E29" s="33">
        <f>E28+J28</f>
        <v>3813390</v>
      </c>
    </row>
    <row r="31" spans="1:22" x14ac:dyDescent="0.35">
      <c r="A31" s="198" t="s">
        <v>81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16"/>
      <c r="R31" s="116"/>
      <c r="S31" s="116"/>
      <c r="T31" s="116"/>
      <c r="U31" s="116"/>
      <c r="V31" s="116"/>
    </row>
    <row r="32" spans="1:22" ht="15" thickBot="1" x14ac:dyDescent="0.4">
      <c r="A32" s="202" t="s">
        <v>0</v>
      </c>
      <c r="B32" s="204"/>
      <c r="C32" s="204"/>
      <c r="D32" s="204"/>
      <c r="E32" s="193" t="s">
        <v>19</v>
      </c>
      <c r="F32" s="193"/>
      <c r="G32" s="193"/>
      <c r="H32" s="193"/>
      <c r="I32" s="194"/>
      <c r="J32" s="195" t="s">
        <v>20</v>
      </c>
      <c r="K32" s="196"/>
      <c r="L32" s="196"/>
      <c r="M32" s="196"/>
      <c r="N32" s="197"/>
      <c r="O32" s="12"/>
      <c r="P32" s="6"/>
      <c r="Q32" s="116"/>
      <c r="R32" s="116"/>
      <c r="S32" s="116"/>
      <c r="T32" s="116"/>
      <c r="U32" s="116"/>
      <c r="V32" s="116"/>
    </row>
    <row r="33" spans="1:22" ht="58.5" thickTop="1" x14ac:dyDescent="0.35">
      <c r="A33" s="7" t="s">
        <v>1</v>
      </c>
      <c r="B33" s="7" t="s">
        <v>2</v>
      </c>
      <c r="C33" s="7" t="s">
        <v>3</v>
      </c>
      <c r="D33" s="9" t="s">
        <v>9</v>
      </c>
      <c r="E33" s="19" t="s">
        <v>4</v>
      </c>
      <c r="F33" s="20" t="s">
        <v>6</v>
      </c>
      <c r="G33" s="20" t="s">
        <v>5</v>
      </c>
      <c r="H33" s="20" t="s">
        <v>7</v>
      </c>
      <c r="I33" s="23" t="s">
        <v>8</v>
      </c>
      <c r="J33" s="25" t="s">
        <v>4</v>
      </c>
      <c r="K33" s="26" t="s">
        <v>6</v>
      </c>
      <c r="L33" s="26" t="s">
        <v>5</v>
      </c>
      <c r="M33" s="26" t="s">
        <v>7</v>
      </c>
      <c r="N33" s="27" t="s">
        <v>8</v>
      </c>
      <c r="O33" s="13" t="s">
        <v>10</v>
      </c>
      <c r="P33" s="8" t="s">
        <v>11</v>
      </c>
      <c r="Q33" s="116"/>
      <c r="R33" s="116"/>
      <c r="S33" s="116"/>
      <c r="T33" s="116"/>
      <c r="U33" s="116"/>
      <c r="V33" s="116"/>
    </row>
    <row r="34" spans="1:22" ht="15.5" x14ac:dyDescent="0.35">
      <c r="A34" s="64">
        <v>2020</v>
      </c>
      <c r="B34" s="64">
        <v>4</v>
      </c>
      <c r="C34" s="65">
        <v>44105</v>
      </c>
      <c r="D34" s="65">
        <v>44196</v>
      </c>
      <c r="E34" s="66">
        <v>0</v>
      </c>
      <c r="F34" s="66">
        <v>0</v>
      </c>
      <c r="G34" s="66">
        <v>0</v>
      </c>
      <c r="H34" s="66">
        <v>0</v>
      </c>
      <c r="I34" s="67">
        <v>0</v>
      </c>
      <c r="J34" s="66">
        <v>0</v>
      </c>
      <c r="K34" s="66">
        <v>0</v>
      </c>
      <c r="L34" s="66">
        <v>0</v>
      </c>
      <c r="M34" s="66">
        <v>0</v>
      </c>
      <c r="N34" s="67">
        <v>0</v>
      </c>
      <c r="O34" s="68">
        <v>0</v>
      </c>
      <c r="P34" s="69">
        <v>0</v>
      </c>
      <c r="Q34" s="116"/>
      <c r="R34" s="116"/>
      <c r="S34" s="116"/>
      <c r="T34" s="116"/>
      <c r="U34" s="116"/>
      <c r="V34" s="116"/>
    </row>
    <row r="35" spans="1:22" ht="15.5" x14ac:dyDescent="0.35">
      <c r="A35" s="64">
        <v>2021</v>
      </c>
      <c r="B35" s="64">
        <v>1</v>
      </c>
      <c r="C35" s="65">
        <v>44197</v>
      </c>
      <c r="D35" s="65">
        <v>44286</v>
      </c>
      <c r="E35" s="66">
        <v>0</v>
      </c>
      <c r="F35" s="66">
        <v>0</v>
      </c>
      <c r="G35" s="66">
        <v>0</v>
      </c>
      <c r="H35" s="66">
        <v>0</v>
      </c>
      <c r="I35" s="67">
        <v>0</v>
      </c>
      <c r="J35" s="66">
        <v>0</v>
      </c>
      <c r="K35" s="66">
        <v>0</v>
      </c>
      <c r="L35" s="66">
        <v>0</v>
      </c>
      <c r="M35" s="66">
        <v>0</v>
      </c>
      <c r="N35" s="67">
        <v>0</v>
      </c>
      <c r="O35" s="68">
        <v>0</v>
      </c>
      <c r="P35" s="69">
        <v>0</v>
      </c>
      <c r="Q35" s="116"/>
      <c r="R35" s="116"/>
      <c r="S35" s="116"/>
      <c r="T35" s="116"/>
      <c r="U35" s="116"/>
      <c r="V35" s="116"/>
    </row>
    <row r="36" spans="1:22" s="108" customFormat="1" ht="15.5" x14ac:dyDescent="0.35">
      <c r="A36" s="89">
        <v>2021</v>
      </c>
      <c r="B36" s="89">
        <v>2</v>
      </c>
      <c r="C36" s="90">
        <v>44287</v>
      </c>
      <c r="D36" s="90">
        <v>44377</v>
      </c>
      <c r="E36" s="100">
        <v>0</v>
      </c>
      <c r="F36" s="92">
        <v>0</v>
      </c>
      <c r="G36" s="92">
        <f>E36</f>
        <v>0</v>
      </c>
      <c r="H36" s="92">
        <f>SUM(F36+0)</f>
        <v>0</v>
      </c>
      <c r="I36" s="101">
        <v>0</v>
      </c>
      <c r="J36" s="102">
        <v>0</v>
      </c>
      <c r="K36" s="103">
        <v>0</v>
      </c>
      <c r="L36" s="104">
        <f>J36</f>
        <v>0</v>
      </c>
      <c r="M36" s="103">
        <f>SUM(K36+0)</f>
        <v>0</v>
      </c>
      <c r="N36" s="105">
        <v>0</v>
      </c>
      <c r="O36" s="106">
        <v>0</v>
      </c>
      <c r="P36" s="107">
        <v>0</v>
      </c>
      <c r="Q36" s="116"/>
      <c r="R36" s="116"/>
      <c r="S36" s="116"/>
      <c r="T36" s="116"/>
      <c r="U36" s="116"/>
      <c r="V36" s="116"/>
    </row>
    <row r="37" spans="1:22" ht="15.5" x14ac:dyDescent="0.35">
      <c r="A37" s="64">
        <v>2021</v>
      </c>
      <c r="B37" s="64">
        <v>3</v>
      </c>
      <c r="C37" s="65">
        <v>44378</v>
      </c>
      <c r="D37" s="65">
        <v>44469</v>
      </c>
      <c r="E37" s="72">
        <f>$E$58/14</f>
        <v>11875</v>
      </c>
      <c r="F37" s="73"/>
      <c r="G37" s="73">
        <f t="shared" ref="G37:G38" si="16">G36+E37</f>
        <v>11875</v>
      </c>
      <c r="H37" s="73">
        <f t="shared" ref="H37:H41" si="17">SUM(H36+F37)</f>
        <v>0</v>
      </c>
      <c r="I37" s="74">
        <v>0</v>
      </c>
      <c r="J37" s="75">
        <f>$J$58/14</f>
        <v>857.14285714285711</v>
      </c>
      <c r="K37" s="76">
        <v>0</v>
      </c>
      <c r="L37" s="76">
        <f>L36+J37</f>
        <v>857.14285714285711</v>
      </c>
      <c r="M37" s="76">
        <f>SUM(M36+K37)</f>
        <v>0</v>
      </c>
      <c r="N37" s="78">
        <v>0</v>
      </c>
      <c r="O37" s="68">
        <v>0</v>
      </c>
      <c r="P37" s="69">
        <v>0</v>
      </c>
      <c r="Q37" s="116"/>
      <c r="R37" s="116"/>
      <c r="S37" s="116"/>
      <c r="T37" s="116"/>
      <c r="U37" s="116"/>
      <c r="V37" s="116"/>
    </row>
    <row r="38" spans="1:22" ht="15.5" x14ac:dyDescent="0.35">
      <c r="A38" s="64">
        <v>2022</v>
      </c>
      <c r="B38" s="64">
        <v>4</v>
      </c>
      <c r="C38" s="65">
        <v>44470</v>
      </c>
      <c r="D38" s="65">
        <v>44561</v>
      </c>
      <c r="E38" s="72">
        <f t="shared" ref="E38:E50" si="18">$E$58/14</f>
        <v>11875</v>
      </c>
      <c r="F38" s="73">
        <v>0</v>
      </c>
      <c r="G38" s="73">
        <f t="shared" si="16"/>
        <v>23750</v>
      </c>
      <c r="H38" s="73">
        <f t="shared" si="17"/>
        <v>0</v>
      </c>
      <c r="I38" s="74">
        <f t="shared" ref="I38:I54" si="19">H38/G38</f>
        <v>0</v>
      </c>
      <c r="J38" s="75">
        <f t="shared" ref="J38:J50" si="20">$J$58/14</f>
        <v>857.14285714285711</v>
      </c>
      <c r="K38" s="76">
        <v>0</v>
      </c>
      <c r="L38" s="76">
        <f t="shared" ref="L38:L41" si="21">L37+J38</f>
        <v>1714.2857142857142</v>
      </c>
      <c r="M38" s="76">
        <f t="shared" ref="M38:M40" si="22">SUM(M37+K38)</f>
        <v>0</v>
      </c>
      <c r="N38" s="78">
        <f t="shared" ref="N38:N41" si="23">M38/L38</f>
        <v>0</v>
      </c>
      <c r="O38" s="68">
        <v>0</v>
      </c>
      <c r="P38" s="69">
        <v>0</v>
      </c>
      <c r="Q38" s="116"/>
      <c r="R38" s="116"/>
      <c r="S38" s="116"/>
      <c r="T38" s="116"/>
      <c r="U38" s="116"/>
      <c r="V38" s="116"/>
    </row>
    <row r="39" spans="1:22" ht="15.5" x14ac:dyDescent="0.35">
      <c r="A39" s="64">
        <v>2022</v>
      </c>
      <c r="B39" s="64">
        <v>1</v>
      </c>
      <c r="C39" s="65">
        <v>44562</v>
      </c>
      <c r="D39" s="65">
        <v>44651</v>
      </c>
      <c r="E39" s="72">
        <f t="shared" si="18"/>
        <v>11875</v>
      </c>
      <c r="F39" s="73">
        <v>0</v>
      </c>
      <c r="G39" s="73">
        <f>G38+E39</f>
        <v>35625</v>
      </c>
      <c r="H39" s="73">
        <f t="shared" si="17"/>
        <v>0</v>
      </c>
      <c r="I39" s="74">
        <f t="shared" si="19"/>
        <v>0</v>
      </c>
      <c r="J39" s="75">
        <f t="shared" si="20"/>
        <v>857.14285714285711</v>
      </c>
      <c r="K39" s="76">
        <v>1540</v>
      </c>
      <c r="L39" s="76">
        <f t="shared" si="21"/>
        <v>2571.4285714285716</v>
      </c>
      <c r="M39" s="76">
        <f t="shared" si="22"/>
        <v>1540</v>
      </c>
      <c r="N39" s="78">
        <f t="shared" si="23"/>
        <v>0.5988888888888888</v>
      </c>
      <c r="O39" s="68">
        <v>0</v>
      </c>
      <c r="P39" s="69">
        <v>0</v>
      </c>
      <c r="Q39" s="116"/>
      <c r="R39" s="116"/>
      <c r="S39" s="116"/>
      <c r="T39" s="116"/>
      <c r="U39" s="116"/>
      <c r="V39" s="116"/>
    </row>
    <row r="40" spans="1:22" ht="15.5" x14ac:dyDescent="0.35">
      <c r="A40" s="64">
        <v>2022</v>
      </c>
      <c r="B40" s="64">
        <v>2</v>
      </c>
      <c r="C40" s="65">
        <v>44652</v>
      </c>
      <c r="D40" s="65">
        <v>44742</v>
      </c>
      <c r="E40" s="72">
        <f t="shared" si="18"/>
        <v>11875</v>
      </c>
      <c r="F40" s="73">
        <v>0</v>
      </c>
      <c r="G40" s="73">
        <f t="shared" ref="G40:G41" si="24">G39+E40</f>
        <v>47500</v>
      </c>
      <c r="H40" s="73">
        <f t="shared" si="17"/>
        <v>0</v>
      </c>
      <c r="I40" s="74">
        <f t="shared" si="19"/>
        <v>0</v>
      </c>
      <c r="J40" s="75">
        <f t="shared" si="20"/>
        <v>857.14285714285711</v>
      </c>
      <c r="K40" s="76">
        <v>0</v>
      </c>
      <c r="L40" s="76">
        <f t="shared" si="21"/>
        <v>3428.5714285714284</v>
      </c>
      <c r="M40" s="76">
        <f t="shared" si="22"/>
        <v>1540</v>
      </c>
      <c r="N40" s="78">
        <f t="shared" si="23"/>
        <v>0.44916666666666666</v>
      </c>
      <c r="O40" s="68">
        <v>0</v>
      </c>
      <c r="P40" s="69">
        <v>0</v>
      </c>
      <c r="Q40" s="116"/>
      <c r="R40" s="116"/>
      <c r="S40" s="116"/>
      <c r="T40" s="116"/>
      <c r="U40" s="116"/>
      <c r="V40" s="116"/>
    </row>
    <row r="41" spans="1:22" ht="15.5" x14ac:dyDescent="0.35">
      <c r="A41" s="64">
        <v>2022</v>
      </c>
      <c r="B41" s="64">
        <v>3</v>
      </c>
      <c r="C41" s="65">
        <v>44743</v>
      </c>
      <c r="D41" s="65">
        <v>44834</v>
      </c>
      <c r="E41" s="72">
        <f t="shared" si="18"/>
        <v>11875</v>
      </c>
      <c r="F41" s="73">
        <v>0</v>
      </c>
      <c r="G41" s="73">
        <f t="shared" si="24"/>
        <v>59375</v>
      </c>
      <c r="H41" s="73">
        <f t="shared" si="17"/>
        <v>0</v>
      </c>
      <c r="I41" s="74">
        <f t="shared" si="19"/>
        <v>0</v>
      </c>
      <c r="J41" s="75">
        <f t="shared" si="20"/>
        <v>857.14285714285711</v>
      </c>
      <c r="K41" s="76">
        <v>1742</v>
      </c>
      <c r="L41" s="76">
        <f t="shared" si="21"/>
        <v>4285.7142857142853</v>
      </c>
      <c r="M41" s="76">
        <f>SUM(M40+K41)</f>
        <v>3282</v>
      </c>
      <c r="N41" s="78">
        <f t="shared" si="23"/>
        <v>0.76580000000000004</v>
      </c>
      <c r="O41" s="68">
        <v>0</v>
      </c>
      <c r="P41" s="69">
        <v>0</v>
      </c>
      <c r="Q41" s="116"/>
      <c r="R41" s="116"/>
      <c r="S41" s="116"/>
      <c r="T41" s="116"/>
      <c r="U41" s="116"/>
      <c r="V41" s="116"/>
    </row>
    <row r="42" spans="1:22" ht="15.5" x14ac:dyDescent="0.35">
      <c r="A42" s="64">
        <v>2022</v>
      </c>
      <c r="B42" s="64">
        <v>4</v>
      </c>
      <c r="C42" s="65">
        <v>44835</v>
      </c>
      <c r="D42" s="65">
        <v>44926</v>
      </c>
      <c r="E42" s="72">
        <f t="shared" si="18"/>
        <v>11875</v>
      </c>
      <c r="F42" s="73">
        <v>757</v>
      </c>
      <c r="G42" s="73">
        <f>G41+E42</f>
        <v>71250</v>
      </c>
      <c r="H42" s="73">
        <f>SUM(H41+F42)</f>
        <v>757</v>
      </c>
      <c r="I42" s="74">
        <f t="shared" si="19"/>
        <v>1.0624561403508773E-2</v>
      </c>
      <c r="J42" s="75">
        <f t="shared" si="20"/>
        <v>857.14285714285711</v>
      </c>
      <c r="K42" s="76">
        <v>1543</v>
      </c>
      <c r="L42" s="76">
        <f>L41+J42</f>
        <v>5142.8571428571422</v>
      </c>
      <c r="M42" s="76">
        <f>SUM(M41+K42)</f>
        <v>4825</v>
      </c>
      <c r="N42" s="78">
        <f>M42/L42</f>
        <v>0.93819444444444455</v>
      </c>
      <c r="O42" s="68">
        <v>0</v>
      </c>
      <c r="P42" s="69">
        <v>0</v>
      </c>
      <c r="Q42" s="116"/>
      <c r="R42" s="116"/>
      <c r="S42" s="116"/>
      <c r="T42" s="116"/>
      <c r="U42" s="116"/>
      <c r="V42" s="116"/>
    </row>
    <row r="43" spans="1:22" ht="15.5" x14ac:dyDescent="0.35">
      <c r="A43" s="64">
        <v>2023</v>
      </c>
      <c r="B43" s="64">
        <v>1</v>
      </c>
      <c r="C43" s="65">
        <v>44927</v>
      </c>
      <c r="D43" s="65">
        <v>45016</v>
      </c>
      <c r="E43" s="72">
        <f t="shared" si="18"/>
        <v>11875</v>
      </c>
      <c r="F43" s="73">
        <v>0</v>
      </c>
      <c r="G43" s="73">
        <f t="shared" ref="G43:G57" si="25">G42+E43</f>
        <v>83125</v>
      </c>
      <c r="H43" s="73">
        <f t="shared" ref="H43:H56" si="26">SUM(H42+F43)</f>
        <v>757</v>
      </c>
      <c r="I43" s="74">
        <f t="shared" si="19"/>
        <v>9.1067669172932332E-3</v>
      </c>
      <c r="J43" s="75">
        <f t="shared" si="20"/>
        <v>857.14285714285711</v>
      </c>
      <c r="K43" s="76">
        <v>0</v>
      </c>
      <c r="L43" s="76">
        <f>L42+J43</f>
        <v>5999.9999999999991</v>
      </c>
      <c r="M43" s="76">
        <f t="shared" ref="M43:M57" si="27">SUM(M42+K43)</f>
        <v>4825</v>
      </c>
      <c r="N43" s="78">
        <f t="shared" ref="N43:N57" si="28">M43/L43</f>
        <v>0.80416666666666681</v>
      </c>
      <c r="O43" s="68">
        <v>0</v>
      </c>
      <c r="P43" s="69">
        <v>0</v>
      </c>
      <c r="Q43" s="116"/>
      <c r="R43" s="116"/>
      <c r="S43" s="116"/>
      <c r="T43" s="116"/>
      <c r="U43" s="116"/>
      <c r="V43" s="116"/>
    </row>
    <row r="44" spans="1:22" ht="15.5" x14ac:dyDescent="0.35">
      <c r="A44" s="64">
        <v>2023</v>
      </c>
      <c r="B44" s="64">
        <v>2</v>
      </c>
      <c r="C44" s="65">
        <v>45017</v>
      </c>
      <c r="D44" s="65">
        <v>45107</v>
      </c>
      <c r="E44" s="72">
        <f t="shared" si="18"/>
        <v>11875</v>
      </c>
      <c r="F44" s="73">
        <v>0</v>
      </c>
      <c r="G44" s="73">
        <f t="shared" si="25"/>
        <v>95000</v>
      </c>
      <c r="H44" s="73">
        <f t="shared" si="26"/>
        <v>757</v>
      </c>
      <c r="I44" s="74">
        <f t="shared" si="19"/>
        <v>7.9684210526315795E-3</v>
      </c>
      <c r="J44" s="75">
        <f t="shared" si="20"/>
        <v>857.14285714285711</v>
      </c>
      <c r="K44" s="76">
        <v>0</v>
      </c>
      <c r="L44" s="76">
        <f t="shared" ref="L44" si="29">L43+J44</f>
        <v>6857.142857142856</v>
      </c>
      <c r="M44" s="76">
        <f t="shared" si="27"/>
        <v>4825</v>
      </c>
      <c r="N44" s="78">
        <f t="shared" si="28"/>
        <v>0.70364583333333341</v>
      </c>
      <c r="O44" s="68">
        <v>0</v>
      </c>
      <c r="P44" s="69">
        <v>0</v>
      </c>
      <c r="Q44" s="116"/>
      <c r="R44" s="116"/>
      <c r="S44" s="116"/>
      <c r="T44" s="116"/>
      <c r="U44" s="116"/>
      <c r="V44" s="116"/>
    </row>
    <row r="45" spans="1:22" ht="15.5" x14ac:dyDescent="0.35">
      <c r="A45" s="64">
        <v>2023</v>
      </c>
      <c r="B45" s="64">
        <v>3</v>
      </c>
      <c r="C45" s="65">
        <v>45108</v>
      </c>
      <c r="D45" s="65">
        <v>45199</v>
      </c>
      <c r="E45" s="72">
        <f t="shared" si="18"/>
        <v>11875</v>
      </c>
      <c r="F45" s="73">
        <v>29205.67</v>
      </c>
      <c r="G45" s="73">
        <f t="shared" si="25"/>
        <v>106875</v>
      </c>
      <c r="H45" s="73">
        <f t="shared" si="26"/>
        <v>29962.67</v>
      </c>
      <c r="I45" s="74">
        <f>H45/G45</f>
        <v>0.28035246783625728</v>
      </c>
      <c r="J45" s="75">
        <f t="shared" si="20"/>
        <v>857.14285714285711</v>
      </c>
      <c r="K45" s="76">
        <v>1448</v>
      </c>
      <c r="L45" s="76">
        <f>L44+J45</f>
        <v>7714.2857142857129</v>
      </c>
      <c r="M45" s="76">
        <f t="shared" si="27"/>
        <v>6273</v>
      </c>
      <c r="N45" s="78">
        <f t="shared" si="28"/>
        <v>0.81316666666666682</v>
      </c>
      <c r="O45" s="68">
        <v>0</v>
      </c>
      <c r="P45" s="69">
        <v>0</v>
      </c>
      <c r="Q45" s="116"/>
      <c r="R45" s="116"/>
      <c r="S45" s="116"/>
      <c r="T45" s="116"/>
      <c r="U45" s="116"/>
      <c r="V45" s="116"/>
    </row>
    <row r="46" spans="1:22" ht="15.5" x14ac:dyDescent="0.35">
      <c r="A46" s="64">
        <v>2023</v>
      </c>
      <c r="B46" s="64">
        <v>4</v>
      </c>
      <c r="C46" s="65">
        <v>45200</v>
      </c>
      <c r="D46" s="65">
        <v>45291</v>
      </c>
      <c r="E46" s="72">
        <f t="shared" si="18"/>
        <v>11875</v>
      </c>
      <c r="F46" s="73">
        <v>84416.65</v>
      </c>
      <c r="G46" s="73">
        <f t="shared" si="25"/>
        <v>118750</v>
      </c>
      <c r="H46" s="73">
        <f t="shared" si="26"/>
        <v>114379.31999999999</v>
      </c>
      <c r="I46" s="74">
        <f t="shared" si="19"/>
        <v>0.96319427368421051</v>
      </c>
      <c r="J46" s="75">
        <f t="shared" si="20"/>
        <v>857.14285714285711</v>
      </c>
      <c r="K46" s="76">
        <v>543</v>
      </c>
      <c r="L46" s="76">
        <f t="shared" ref="L46:L57" si="30">L45+J46</f>
        <v>8571.4285714285706</v>
      </c>
      <c r="M46" s="76">
        <f>SUM(M45+K46)</f>
        <v>6816</v>
      </c>
      <c r="N46" s="78">
        <f t="shared" si="28"/>
        <v>0.79520000000000002</v>
      </c>
      <c r="O46" s="68">
        <v>0</v>
      </c>
      <c r="P46" s="69">
        <v>0</v>
      </c>
      <c r="Q46" s="116"/>
      <c r="R46" s="116"/>
      <c r="S46" s="116"/>
      <c r="T46" s="116"/>
      <c r="U46" s="116"/>
      <c r="V46" s="116"/>
    </row>
    <row r="47" spans="1:22" ht="15.5" x14ac:dyDescent="0.35">
      <c r="A47" s="64">
        <v>2024</v>
      </c>
      <c r="B47" s="64">
        <v>1</v>
      </c>
      <c r="C47" s="65">
        <v>45292</v>
      </c>
      <c r="D47" s="65">
        <v>45382</v>
      </c>
      <c r="E47" s="72">
        <f t="shared" si="18"/>
        <v>11875</v>
      </c>
      <c r="F47" s="73">
        <v>34571.03</v>
      </c>
      <c r="G47" s="73">
        <f t="shared" si="25"/>
        <v>130625</v>
      </c>
      <c r="H47" s="73">
        <f t="shared" si="26"/>
        <v>148950.34999999998</v>
      </c>
      <c r="I47" s="74">
        <f t="shared" si="19"/>
        <v>1.14028976076555</v>
      </c>
      <c r="J47" s="75">
        <f t="shared" si="20"/>
        <v>857.14285714285711</v>
      </c>
      <c r="K47" s="76">
        <v>0</v>
      </c>
      <c r="L47" s="76">
        <f t="shared" si="30"/>
        <v>9428.5714285714275</v>
      </c>
      <c r="M47" s="76">
        <f>SUM(M46+K47)</f>
        <v>6816</v>
      </c>
      <c r="N47" s="78">
        <f t="shared" si="28"/>
        <v>0.72290909090909095</v>
      </c>
      <c r="O47" s="68">
        <v>0</v>
      </c>
      <c r="P47" s="69">
        <v>0</v>
      </c>
      <c r="Q47" s="116"/>
      <c r="R47" s="116"/>
      <c r="S47" s="116"/>
      <c r="T47" s="116"/>
      <c r="U47" s="116"/>
      <c r="V47" s="116"/>
    </row>
    <row r="48" spans="1:22" ht="15.5" x14ac:dyDescent="0.35">
      <c r="A48" s="64">
        <v>2024</v>
      </c>
      <c r="B48" s="64">
        <v>2</v>
      </c>
      <c r="C48" s="65">
        <v>45383</v>
      </c>
      <c r="D48" s="65">
        <v>45473</v>
      </c>
      <c r="E48" s="72">
        <f t="shared" si="18"/>
        <v>11875</v>
      </c>
      <c r="F48" s="73">
        <v>0</v>
      </c>
      <c r="G48" s="73">
        <f t="shared" si="25"/>
        <v>142500</v>
      </c>
      <c r="H48" s="73">
        <f t="shared" si="26"/>
        <v>148950.34999999998</v>
      </c>
      <c r="I48" s="74">
        <f t="shared" si="19"/>
        <v>1.0452656140350876</v>
      </c>
      <c r="J48" s="75">
        <v>90</v>
      </c>
      <c r="K48" s="76">
        <v>0</v>
      </c>
      <c r="L48" s="76">
        <f t="shared" si="30"/>
        <v>9518.5714285714275</v>
      </c>
      <c r="M48" s="76">
        <f t="shared" si="27"/>
        <v>6816</v>
      </c>
      <c r="N48" s="78">
        <f t="shared" si="28"/>
        <v>0.71607384061233681</v>
      </c>
      <c r="O48" s="68">
        <v>0</v>
      </c>
      <c r="P48" s="69">
        <v>0</v>
      </c>
      <c r="Q48" s="116"/>
      <c r="R48" s="116"/>
      <c r="S48" s="116"/>
      <c r="T48" s="116"/>
      <c r="U48" s="116"/>
      <c r="V48" s="116"/>
    </row>
    <row r="49" spans="1:22" ht="15.5" x14ac:dyDescent="0.35">
      <c r="A49" s="64">
        <v>2024</v>
      </c>
      <c r="B49" s="64">
        <v>3</v>
      </c>
      <c r="C49" s="65">
        <v>45474</v>
      </c>
      <c r="D49" s="65">
        <v>45565</v>
      </c>
      <c r="E49" s="72">
        <f t="shared" si="18"/>
        <v>11875</v>
      </c>
      <c r="F49" s="73"/>
      <c r="G49" s="73">
        <f t="shared" si="25"/>
        <v>154375</v>
      </c>
      <c r="H49" s="73">
        <f t="shared" si="26"/>
        <v>148950.34999999998</v>
      </c>
      <c r="I49" s="128">
        <f t="shared" si="19"/>
        <v>0.96486056680161925</v>
      </c>
      <c r="J49" s="75">
        <f t="shared" si="20"/>
        <v>857.14285714285711</v>
      </c>
      <c r="K49" s="77">
        <v>0</v>
      </c>
      <c r="L49" s="77">
        <f t="shared" si="30"/>
        <v>10375.714285714284</v>
      </c>
      <c r="M49" s="77">
        <f t="shared" si="27"/>
        <v>6816</v>
      </c>
      <c r="N49" s="78">
        <f t="shared" si="28"/>
        <v>0.65691862866584061</v>
      </c>
      <c r="O49" s="131">
        <v>0</v>
      </c>
      <c r="P49" s="130">
        <v>0</v>
      </c>
      <c r="Q49" s="116"/>
      <c r="R49" s="116"/>
      <c r="S49" s="116"/>
      <c r="T49" s="116"/>
      <c r="U49" s="116"/>
      <c r="V49" s="116"/>
    </row>
    <row r="50" spans="1:22" ht="15.5" x14ac:dyDescent="0.35">
      <c r="A50" s="64">
        <v>2024</v>
      </c>
      <c r="B50" s="64">
        <v>4</v>
      </c>
      <c r="C50" s="65">
        <v>45566</v>
      </c>
      <c r="D50" s="65">
        <v>45657</v>
      </c>
      <c r="E50" s="72">
        <f t="shared" si="18"/>
        <v>11875</v>
      </c>
      <c r="F50" s="73"/>
      <c r="G50" s="73">
        <f t="shared" si="25"/>
        <v>166250</v>
      </c>
      <c r="H50" s="73">
        <f t="shared" si="26"/>
        <v>148950.34999999998</v>
      </c>
      <c r="I50" s="128">
        <f t="shared" si="19"/>
        <v>0.89594195488721795</v>
      </c>
      <c r="J50" s="75">
        <f t="shared" si="20"/>
        <v>857.14285714285711</v>
      </c>
      <c r="K50" s="77"/>
      <c r="L50" s="77">
        <f t="shared" si="30"/>
        <v>11232.857142857141</v>
      </c>
      <c r="M50" s="77">
        <f t="shared" si="27"/>
        <v>6816</v>
      </c>
      <c r="N50" s="78">
        <f t="shared" si="28"/>
        <v>0.60679130103014123</v>
      </c>
      <c r="O50" s="131">
        <v>2</v>
      </c>
      <c r="P50" s="130">
        <v>2</v>
      </c>
      <c r="Q50" s="116"/>
      <c r="R50" s="116"/>
      <c r="S50" s="116"/>
      <c r="T50" s="116"/>
      <c r="U50" s="116"/>
      <c r="V50" s="116"/>
    </row>
    <row r="51" spans="1:22" ht="15.5" x14ac:dyDescent="0.35">
      <c r="A51" s="64">
        <v>2025</v>
      </c>
      <c r="B51" s="64">
        <v>1</v>
      </c>
      <c r="C51" s="65">
        <v>45658</v>
      </c>
      <c r="D51" s="65">
        <v>45747</v>
      </c>
      <c r="E51" s="72">
        <v>0</v>
      </c>
      <c r="F51" s="73"/>
      <c r="G51" s="73">
        <f t="shared" si="25"/>
        <v>166250</v>
      </c>
      <c r="H51" s="73">
        <f t="shared" si="26"/>
        <v>148950.34999999998</v>
      </c>
      <c r="I51" s="128">
        <f t="shared" si="19"/>
        <v>0.89594195488721795</v>
      </c>
      <c r="J51" s="75">
        <v>0</v>
      </c>
      <c r="K51" s="77"/>
      <c r="L51" s="77">
        <f t="shared" si="30"/>
        <v>11232.857142857141</v>
      </c>
      <c r="M51" s="77">
        <f t="shared" si="27"/>
        <v>6816</v>
      </c>
      <c r="N51" s="78">
        <f t="shared" si="28"/>
        <v>0.60679130103014123</v>
      </c>
      <c r="O51" s="131"/>
      <c r="P51" s="130"/>
      <c r="Q51" s="116"/>
      <c r="R51" s="116"/>
      <c r="S51" s="116"/>
      <c r="T51" s="116"/>
      <c r="U51" s="116"/>
      <c r="V51" s="116"/>
    </row>
    <row r="52" spans="1:22" ht="15.5" x14ac:dyDescent="0.35">
      <c r="A52" s="64">
        <v>2025</v>
      </c>
      <c r="B52" s="64">
        <v>2</v>
      </c>
      <c r="C52" s="65">
        <v>45748</v>
      </c>
      <c r="D52" s="65">
        <v>45838</v>
      </c>
      <c r="E52" s="72">
        <v>0</v>
      </c>
      <c r="F52" s="73"/>
      <c r="G52" s="73">
        <f t="shared" si="25"/>
        <v>166250</v>
      </c>
      <c r="H52" s="73">
        <f t="shared" si="26"/>
        <v>148950.34999999998</v>
      </c>
      <c r="I52" s="128">
        <f t="shared" si="19"/>
        <v>0.89594195488721795</v>
      </c>
      <c r="J52" s="75">
        <v>0</v>
      </c>
      <c r="K52" s="77"/>
      <c r="L52" s="77">
        <f t="shared" si="30"/>
        <v>11232.857142857141</v>
      </c>
      <c r="M52" s="77">
        <f t="shared" si="27"/>
        <v>6816</v>
      </c>
      <c r="N52" s="78">
        <f t="shared" si="28"/>
        <v>0.60679130103014123</v>
      </c>
      <c r="O52" s="131"/>
      <c r="P52" s="130"/>
      <c r="Q52" s="116"/>
      <c r="R52" s="116"/>
      <c r="S52" s="116"/>
      <c r="T52" s="116"/>
      <c r="U52" s="116"/>
      <c r="V52" s="116"/>
    </row>
    <row r="53" spans="1:22" ht="15.5" x14ac:dyDescent="0.35">
      <c r="A53" s="64">
        <v>2025</v>
      </c>
      <c r="B53" s="64">
        <v>3</v>
      </c>
      <c r="C53" s="65">
        <v>45839</v>
      </c>
      <c r="D53" s="65">
        <v>45930</v>
      </c>
      <c r="E53" s="72">
        <v>0</v>
      </c>
      <c r="F53" s="73"/>
      <c r="G53" s="73">
        <f t="shared" si="25"/>
        <v>166250</v>
      </c>
      <c r="H53" s="73">
        <f t="shared" si="26"/>
        <v>148950.34999999998</v>
      </c>
      <c r="I53" s="128">
        <f t="shared" si="19"/>
        <v>0.89594195488721795</v>
      </c>
      <c r="J53" s="75">
        <v>0</v>
      </c>
      <c r="K53" s="77"/>
      <c r="L53" s="77">
        <f t="shared" si="30"/>
        <v>11232.857142857141</v>
      </c>
      <c r="M53" s="77">
        <f t="shared" si="27"/>
        <v>6816</v>
      </c>
      <c r="N53" s="78">
        <f t="shared" si="28"/>
        <v>0.60679130103014123</v>
      </c>
      <c r="O53" s="131"/>
      <c r="P53" s="130"/>
      <c r="Q53" s="116"/>
      <c r="R53" s="116"/>
      <c r="S53" s="116"/>
      <c r="T53" s="116"/>
      <c r="U53" s="116"/>
      <c r="V53" s="116"/>
    </row>
    <row r="54" spans="1:22" ht="15.5" x14ac:dyDescent="0.35">
      <c r="A54" s="64">
        <v>2025</v>
      </c>
      <c r="B54" s="64">
        <v>4</v>
      </c>
      <c r="C54" s="65">
        <v>45931</v>
      </c>
      <c r="D54" s="65">
        <v>46022</v>
      </c>
      <c r="E54" s="72">
        <v>0</v>
      </c>
      <c r="F54" s="73"/>
      <c r="G54" s="73">
        <f t="shared" si="25"/>
        <v>166250</v>
      </c>
      <c r="H54" s="73">
        <f t="shared" si="26"/>
        <v>148950.34999999998</v>
      </c>
      <c r="I54" s="128">
        <f t="shared" si="19"/>
        <v>0.89594195488721795</v>
      </c>
      <c r="J54" s="75">
        <v>0</v>
      </c>
      <c r="K54" s="77"/>
      <c r="L54" s="77">
        <f t="shared" si="30"/>
        <v>11232.857142857141</v>
      </c>
      <c r="M54" s="77">
        <f t="shared" si="27"/>
        <v>6816</v>
      </c>
      <c r="N54" s="78">
        <f t="shared" si="28"/>
        <v>0.60679130103014123</v>
      </c>
      <c r="O54" s="131"/>
      <c r="P54" s="130"/>
      <c r="Q54" s="116"/>
      <c r="R54" s="116"/>
      <c r="S54" s="116"/>
      <c r="T54" s="116"/>
      <c r="U54" s="116"/>
      <c r="V54" s="116"/>
    </row>
    <row r="55" spans="1:22" ht="15.5" x14ac:dyDescent="0.35">
      <c r="A55" s="64">
        <v>2026</v>
      </c>
      <c r="B55" s="64">
        <v>1</v>
      </c>
      <c r="C55" s="65">
        <v>46023</v>
      </c>
      <c r="D55" s="65">
        <v>46112</v>
      </c>
      <c r="E55" s="72">
        <v>0</v>
      </c>
      <c r="F55" s="73"/>
      <c r="G55" s="73">
        <f t="shared" si="25"/>
        <v>166250</v>
      </c>
      <c r="H55" s="73">
        <f t="shared" si="26"/>
        <v>148950.34999999998</v>
      </c>
      <c r="I55" s="128">
        <f>H55/G55</f>
        <v>0.89594195488721795</v>
      </c>
      <c r="J55" s="75">
        <v>0</v>
      </c>
      <c r="K55" s="77"/>
      <c r="L55" s="77">
        <f t="shared" si="30"/>
        <v>11232.857142857141</v>
      </c>
      <c r="M55" s="77">
        <f t="shared" si="27"/>
        <v>6816</v>
      </c>
      <c r="N55" s="78">
        <f t="shared" si="28"/>
        <v>0.60679130103014123</v>
      </c>
      <c r="O55" s="131"/>
      <c r="P55" s="130"/>
      <c r="Q55" s="116"/>
      <c r="R55" s="116"/>
      <c r="S55" s="116"/>
      <c r="T55" s="116"/>
      <c r="U55" s="116"/>
      <c r="V55" s="116"/>
    </row>
    <row r="56" spans="1:22" ht="15.5" x14ac:dyDescent="0.35">
      <c r="A56" s="64">
        <v>2026</v>
      </c>
      <c r="B56" s="64">
        <v>2</v>
      </c>
      <c r="C56" s="65">
        <v>46113</v>
      </c>
      <c r="D56" s="65">
        <v>46203</v>
      </c>
      <c r="E56" s="72">
        <v>0</v>
      </c>
      <c r="F56" s="73"/>
      <c r="G56" s="73">
        <f t="shared" si="25"/>
        <v>166250</v>
      </c>
      <c r="H56" s="73">
        <f t="shared" si="26"/>
        <v>148950.34999999998</v>
      </c>
      <c r="I56" s="128">
        <f t="shared" ref="I56:I57" si="31">H56/G56</f>
        <v>0.89594195488721795</v>
      </c>
      <c r="J56" s="75">
        <v>0</v>
      </c>
      <c r="K56" s="77"/>
      <c r="L56" s="77">
        <f t="shared" si="30"/>
        <v>11232.857142857141</v>
      </c>
      <c r="M56" s="77">
        <f t="shared" si="27"/>
        <v>6816</v>
      </c>
      <c r="N56" s="78">
        <f t="shared" si="28"/>
        <v>0.60679130103014123</v>
      </c>
      <c r="O56" s="131"/>
      <c r="P56" s="130"/>
      <c r="Q56" s="116"/>
      <c r="R56" s="116"/>
      <c r="S56" s="116"/>
      <c r="T56" s="116"/>
      <c r="U56" s="116"/>
      <c r="V56" s="116"/>
    </row>
    <row r="57" spans="1:22" ht="15.5" x14ac:dyDescent="0.35">
      <c r="A57" s="64">
        <v>2026</v>
      </c>
      <c r="B57" s="64">
        <v>3</v>
      </c>
      <c r="C57" s="65">
        <v>46204</v>
      </c>
      <c r="D57" s="65">
        <v>46295</v>
      </c>
      <c r="E57" s="72">
        <v>0</v>
      </c>
      <c r="F57" s="73"/>
      <c r="G57" s="73">
        <f t="shared" si="25"/>
        <v>166250</v>
      </c>
      <c r="H57" s="73">
        <f>SUM(H56+F57)</f>
        <v>148950.34999999998</v>
      </c>
      <c r="I57" s="128">
        <f t="shared" si="31"/>
        <v>0.89594195488721795</v>
      </c>
      <c r="J57" s="75">
        <v>0</v>
      </c>
      <c r="K57" s="132"/>
      <c r="L57" s="132">
        <f t="shared" si="30"/>
        <v>11232.857142857141</v>
      </c>
      <c r="M57" s="132">
        <f t="shared" si="27"/>
        <v>6816</v>
      </c>
      <c r="N57" s="78">
        <f t="shared" si="28"/>
        <v>0.60679130103014123</v>
      </c>
      <c r="O57" s="131"/>
      <c r="P57" s="130"/>
      <c r="Q57" s="116"/>
      <c r="R57" s="116"/>
      <c r="S57" s="116"/>
      <c r="T57" s="116"/>
      <c r="U57" s="116"/>
      <c r="V57" s="116"/>
    </row>
    <row r="58" spans="1:22" ht="15" thickBot="1" x14ac:dyDescent="0.4">
      <c r="A58" s="133" t="s">
        <v>12</v>
      </c>
      <c r="B58" s="133"/>
      <c r="C58" s="133"/>
      <c r="D58" s="134"/>
      <c r="E58" s="135">
        <f>149625+16625</f>
        <v>166250</v>
      </c>
      <c r="F58" s="136">
        <f>SUM(F34:F57)</f>
        <v>148950.34999999998</v>
      </c>
      <c r="G58" s="136">
        <f>G57</f>
        <v>166250</v>
      </c>
      <c r="H58" s="137">
        <f>H57</f>
        <v>148950.34999999998</v>
      </c>
      <c r="I58" s="189">
        <f>H58/G58</f>
        <v>0.89594195488721795</v>
      </c>
      <c r="J58" s="138">
        <v>12000</v>
      </c>
      <c r="K58" s="139">
        <f>SUM(K34:K57)</f>
        <v>6816</v>
      </c>
      <c r="L58" s="140">
        <f>L57</f>
        <v>11232.857142857141</v>
      </c>
      <c r="M58" s="141">
        <f>M57</f>
        <v>6816</v>
      </c>
      <c r="N58" s="142">
        <f>M58/L58</f>
        <v>0.60679130103014123</v>
      </c>
      <c r="O58" s="143">
        <f>SUM(O34:O57)</f>
        <v>2</v>
      </c>
      <c r="P58" s="143">
        <f>SUM(P34:P57)</f>
        <v>2</v>
      </c>
      <c r="Q58" s="116"/>
      <c r="R58" s="116"/>
      <c r="S58" s="116"/>
      <c r="T58" s="116"/>
      <c r="U58" s="116"/>
      <c r="V58" s="116"/>
    </row>
    <row r="59" spans="1:22" ht="15" thickTop="1" x14ac:dyDescent="0.35">
      <c r="E59" s="33">
        <f>E58+J58</f>
        <v>178250</v>
      </c>
    </row>
    <row r="61" spans="1:22" x14ac:dyDescent="0.35">
      <c r="A61" s="198" t="s">
        <v>134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16"/>
      <c r="R61" s="116"/>
      <c r="S61" s="116"/>
      <c r="T61" s="116"/>
      <c r="U61" s="116"/>
      <c r="V61" s="116"/>
    </row>
    <row r="62" spans="1:22" ht="15" thickBot="1" x14ac:dyDescent="0.4">
      <c r="A62" s="202" t="s">
        <v>0</v>
      </c>
      <c r="B62" s="204"/>
      <c r="C62" s="204"/>
      <c r="D62" s="204"/>
      <c r="E62" s="193" t="s">
        <v>19</v>
      </c>
      <c r="F62" s="193"/>
      <c r="G62" s="193"/>
      <c r="H62" s="193"/>
      <c r="I62" s="194"/>
      <c r="J62" s="195" t="s">
        <v>20</v>
      </c>
      <c r="K62" s="196"/>
      <c r="L62" s="196"/>
      <c r="M62" s="196"/>
      <c r="N62" s="197"/>
      <c r="O62" s="12"/>
      <c r="P62" s="6"/>
      <c r="Q62" s="116"/>
      <c r="R62" s="116"/>
      <c r="S62" s="116"/>
      <c r="T62" s="116"/>
      <c r="U62" s="116"/>
      <c r="V62" s="116"/>
    </row>
    <row r="63" spans="1:22" ht="58.5" thickTop="1" x14ac:dyDescent="0.35">
      <c r="A63" s="7" t="s">
        <v>1</v>
      </c>
      <c r="B63" s="7" t="s">
        <v>2</v>
      </c>
      <c r="C63" s="7" t="s">
        <v>3</v>
      </c>
      <c r="D63" s="9" t="s">
        <v>9</v>
      </c>
      <c r="E63" s="19" t="s">
        <v>4</v>
      </c>
      <c r="F63" s="20" t="s">
        <v>6</v>
      </c>
      <c r="G63" s="20" t="s">
        <v>5</v>
      </c>
      <c r="H63" s="20" t="s">
        <v>7</v>
      </c>
      <c r="I63" s="23" t="s">
        <v>8</v>
      </c>
      <c r="J63" s="25" t="s">
        <v>4</v>
      </c>
      <c r="K63" s="26" t="s">
        <v>6</v>
      </c>
      <c r="L63" s="26" t="s">
        <v>5</v>
      </c>
      <c r="M63" s="26" t="s">
        <v>7</v>
      </c>
      <c r="N63" s="27" t="s">
        <v>8</v>
      </c>
      <c r="O63" s="13" t="s">
        <v>10</v>
      </c>
      <c r="P63" s="8" t="s">
        <v>11</v>
      </c>
      <c r="Q63" s="116"/>
      <c r="R63" s="116"/>
      <c r="S63" s="116"/>
      <c r="T63" s="116"/>
      <c r="U63" s="116"/>
      <c r="V63" s="116"/>
    </row>
    <row r="64" spans="1:22" ht="15.5" x14ac:dyDescent="0.35">
      <c r="A64" s="64">
        <v>2020</v>
      </c>
      <c r="B64" s="64">
        <v>4</v>
      </c>
      <c r="C64" s="65">
        <v>44105</v>
      </c>
      <c r="D64" s="65">
        <v>44196</v>
      </c>
      <c r="E64" s="66">
        <v>0</v>
      </c>
      <c r="F64" s="66">
        <v>0</v>
      </c>
      <c r="G64" s="66">
        <v>0</v>
      </c>
      <c r="H64" s="66">
        <v>0</v>
      </c>
      <c r="I64" s="67">
        <v>0</v>
      </c>
      <c r="J64" s="66">
        <v>0</v>
      </c>
      <c r="K64" s="66">
        <v>0</v>
      </c>
      <c r="L64" s="66">
        <v>0</v>
      </c>
      <c r="M64" s="66">
        <v>0</v>
      </c>
      <c r="N64" s="67">
        <v>0</v>
      </c>
      <c r="O64" s="68">
        <v>0</v>
      </c>
      <c r="P64" s="69">
        <v>0</v>
      </c>
      <c r="Q64" s="116"/>
      <c r="R64" s="116"/>
      <c r="S64" s="116"/>
      <c r="T64" s="116"/>
      <c r="U64" s="116"/>
      <c r="V64" s="116"/>
    </row>
    <row r="65" spans="1:22" ht="15.5" x14ac:dyDescent="0.35">
      <c r="A65" s="64">
        <v>2021</v>
      </c>
      <c r="B65" s="64">
        <v>1</v>
      </c>
      <c r="C65" s="65">
        <v>44197</v>
      </c>
      <c r="D65" s="65">
        <v>44286</v>
      </c>
      <c r="E65" s="66">
        <v>0</v>
      </c>
      <c r="F65" s="66">
        <v>0</v>
      </c>
      <c r="G65" s="66">
        <v>0</v>
      </c>
      <c r="H65" s="66">
        <v>0</v>
      </c>
      <c r="I65" s="67">
        <v>0</v>
      </c>
      <c r="J65" s="66">
        <v>0</v>
      </c>
      <c r="K65" s="66">
        <v>0</v>
      </c>
      <c r="L65" s="66">
        <v>0</v>
      </c>
      <c r="M65" s="66">
        <v>0</v>
      </c>
      <c r="N65" s="67">
        <v>0</v>
      </c>
      <c r="O65" s="68">
        <v>0</v>
      </c>
      <c r="P65" s="69">
        <v>0</v>
      </c>
      <c r="Q65" s="116"/>
      <c r="R65" s="116"/>
      <c r="S65" s="116"/>
      <c r="T65" s="116"/>
      <c r="U65" s="116"/>
      <c r="V65" s="116"/>
    </row>
    <row r="66" spans="1:22" s="108" customFormat="1" ht="15.5" x14ac:dyDescent="0.35">
      <c r="A66" s="89">
        <v>2021</v>
      </c>
      <c r="B66" s="89">
        <v>2</v>
      </c>
      <c r="C66" s="90">
        <v>44287</v>
      </c>
      <c r="D66" s="90">
        <v>44377</v>
      </c>
      <c r="E66" s="100">
        <v>0</v>
      </c>
      <c r="F66" s="92">
        <v>0</v>
      </c>
      <c r="G66" s="92">
        <f>E66</f>
        <v>0</v>
      </c>
      <c r="H66" s="92">
        <f>SUM(F66+0)</f>
        <v>0</v>
      </c>
      <c r="I66" s="101">
        <v>0</v>
      </c>
      <c r="J66" s="102">
        <v>0</v>
      </c>
      <c r="K66" s="103">
        <v>0</v>
      </c>
      <c r="L66" s="104">
        <f>J66</f>
        <v>0</v>
      </c>
      <c r="M66" s="103">
        <f>SUM(K66+0)</f>
        <v>0</v>
      </c>
      <c r="N66" s="105">
        <v>0</v>
      </c>
      <c r="O66" s="106">
        <v>0</v>
      </c>
      <c r="P66" s="107">
        <v>0</v>
      </c>
      <c r="Q66" s="116"/>
      <c r="R66" s="116"/>
      <c r="S66" s="116"/>
      <c r="T66" s="116"/>
      <c r="U66" s="116"/>
      <c r="V66" s="116"/>
    </row>
    <row r="67" spans="1:22" ht="15.5" x14ac:dyDescent="0.35">
      <c r="A67" s="64">
        <v>2021</v>
      </c>
      <c r="B67" s="64">
        <v>3</v>
      </c>
      <c r="C67" s="65">
        <v>44378</v>
      </c>
      <c r="D67" s="65">
        <v>44469</v>
      </c>
      <c r="E67" s="72">
        <f>$E$88/18</f>
        <v>18750</v>
      </c>
      <c r="F67" s="73">
        <v>0</v>
      </c>
      <c r="G67" s="73">
        <f t="shared" ref="G67:G68" si="32">G66+E67</f>
        <v>18750</v>
      </c>
      <c r="H67" s="73">
        <f t="shared" ref="H67:H71" si="33">SUM(H66+F67)</f>
        <v>0</v>
      </c>
      <c r="I67" s="74">
        <v>0</v>
      </c>
      <c r="J67" s="75">
        <f>$J$88/18</f>
        <v>1111.1111111111111</v>
      </c>
      <c r="K67" s="76">
        <v>0</v>
      </c>
      <c r="L67" s="76">
        <f>L66+J67</f>
        <v>1111.1111111111111</v>
      </c>
      <c r="M67" s="76">
        <f>SUM(M66+K67)</f>
        <v>0</v>
      </c>
      <c r="N67" s="78">
        <v>0</v>
      </c>
      <c r="O67" s="68">
        <v>0</v>
      </c>
      <c r="P67" s="69"/>
      <c r="Q67" s="116"/>
      <c r="R67" s="116"/>
      <c r="S67" s="116"/>
      <c r="T67" s="116"/>
      <c r="U67" s="116"/>
      <c r="V67" s="116"/>
    </row>
    <row r="68" spans="1:22" ht="15.5" x14ac:dyDescent="0.35">
      <c r="A68" s="64">
        <v>2022</v>
      </c>
      <c r="B68" s="64">
        <v>4</v>
      </c>
      <c r="C68" s="65">
        <v>44470</v>
      </c>
      <c r="D68" s="65">
        <v>44561</v>
      </c>
      <c r="E68" s="72">
        <f t="shared" ref="E68:E84" si="34">$E$88/18</f>
        <v>18750</v>
      </c>
      <c r="F68" s="73">
        <v>0</v>
      </c>
      <c r="G68" s="73">
        <f t="shared" si="32"/>
        <v>37500</v>
      </c>
      <c r="H68" s="73">
        <f t="shared" si="33"/>
        <v>0</v>
      </c>
      <c r="I68" s="74">
        <f t="shared" ref="I68:I84" si="35">H68/G68</f>
        <v>0</v>
      </c>
      <c r="J68" s="75">
        <f t="shared" ref="J68:J84" si="36">$J$88/18</f>
        <v>1111.1111111111111</v>
      </c>
      <c r="K68" s="76">
        <v>0</v>
      </c>
      <c r="L68" s="76">
        <f t="shared" ref="L68:L71" si="37">L67+J68</f>
        <v>2222.2222222222222</v>
      </c>
      <c r="M68" s="76">
        <f t="shared" ref="M68:M70" si="38">SUM(M67+K68)</f>
        <v>0</v>
      </c>
      <c r="N68" s="78">
        <f t="shared" ref="N68:N71" si="39">M68/L68</f>
        <v>0</v>
      </c>
      <c r="O68" s="68">
        <v>0</v>
      </c>
      <c r="P68" s="69">
        <v>0</v>
      </c>
      <c r="Q68" s="116"/>
      <c r="R68" s="116"/>
      <c r="S68" s="116"/>
      <c r="T68" s="116"/>
      <c r="U68" s="116"/>
      <c r="V68" s="116"/>
    </row>
    <row r="69" spans="1:22" ht="15.5" x14ac:dyDescent="0.35">
      <c r="A69" s="64">
        <v>2022</v>
      </c>
      <c r="B69" s="64">
        <v>1</v>
      </c>
      <c r="C69" s="65">
        <v>44562</v>
      </c>
      <c r="D69" s="65">
        <v>44651</v>
      </c>
      <c r="E69" s="72">
        <f t="shared" si="34"/>
        <v>18750</v>
      </c>
      <c r="F69" s="73">
        <v>0</v>
      </c>
      <c r="G69" s="73">
        <f>G68+E69</f>
        <v>56250</v>
      </c>
      <c r="H69" s="73">
        <f t="shared" si="33"/>
        <v>0</v>
      </c>
      <c r="I69" s="74">
        <f t="shared" si="35"/>
        <v>0</v>
      </c>
      <c r="J69" s="75">
        <f t="shared" si="36"/>
        <v>1111.1111111111111</v>
      </c>
      <c r="K69" s="76">
        <v>4112</v>
      </c>
      <c r="L69" s="76">
        <f t="shared" si="37"/>
        <v>3333.333333333333</v>
      </c>
      <c r="M69" s="76">
        <f t="shared" si="38"/>
        <v>4112</v>
      </c>
      <c r="N69" s="78">
        <f t="shared" si="39"/>
        <v>1.2336</v>
      </c>
      <c r="O69" s="68">
        <v>0</v>
      </c>
      <c r="P69" s="69">
        <v>0</v>
      </c>
      <c r="Q69" s="116"/>
      <c r="R69" s="116"/>
      <c r="S69" s="116"/>
      <c r="T69" s="116"/>
      <c r="U69" s="116"/>
      <c r="V69" s="116"/>
    </row>
    <row r="70" spans="1:22" ht="15.5" x14ac:dyDescent="0.35">
      <c r="A70" s="64">
        <v>2022</v>
      </c>
      <c r="B70" s="64">
        <v>2</v>
      </c>
      <c r="C70" s="65">
        <v>44652</v>
      </c>
      <c r="D70" s="65">
        <v>44742</v>
      </c>
      <c r="E70" s="72">
        <f t="shared" si="34"/>
        <v>18750</v>
      </c>
      <c r="F70" s="73">
        <v>0</v>
      </c>
      <c r="G70" s="73">
        <f t="shared" ref="G70:G71" si="40">G69+E70</f>
        <v>75000</v>
      </c>
      <c r="H70" s="73">
        <f t="shared" si="33"/>
        <v>0</v>
      </c>
      <c r="I70" s="74">
        <f t="shared" si="35"/>
        <v>0</v>
      </c>
      <c r="J70" s="75">
        <f t="shared" si="36"/>
        <v>1111.1111111111111</v>
      </c>
      <c r="K70" s="76">
        <v>0</v>
      </c>
      <c r="L70" s="76">
        <f t="shared" si="37"/>
        <v>4444.4444444444443</v>
      </c>
      <c r="M70" s="76">
        <f t="shared" si="38"/>
        <v>4112</v>
      </c>
      <c r="N70" s="78">
        <f t="shared" si="39"/>
        <v>0.92520000000000002</v>
      </c>
      <c r="O70" s="68">
        <v>0</v>
      </c>
      <c r="P70" s="69">
        <v>0</v>
      </c>
      <c r="Q70" s="116"/>
      <c r="R70" s="116"/>
      <c r="S70" s="116"/>
      <c r="T70" s="116"/>
      <c r="U70" s="116"/>
      <c r="V70" s="116"/>
    </row>
    <row r="71" spans="1:22" ht="15.5" x14ac:dyDescent="0.35">
      <c r="A71" s="64">
        <v>2022</v>
      </c>
      <c r="B71" s="64">
        <v>3</v>
      </c>
      <c r="C71" s="65">
        <v>44743</v>
      </c>
      <c r="D71" s="65">
        <v>44834</v>
      </c>
      <c r="E71" s="72">
        <f t="shared" si="34"/>
        <v>18750</v>
      </c>
      <c r="F71" s="73">
        <v>187</v>
      </c>
      <c r="G71" s="73">
        <f t="shared" si="40"/>
        <v>93750</v>
      </c>
      <c r="H71" s="73">
        <f t="shared" si="33"/>
        <v>187</v>
      </c>
      <c r="I71" s="74">
        <f t="shared" si="35"/>
        <v>1.9946666666666667E-3</v>
      </c>
      <c r="J71" s="75">
        <f t="shared" si="36"/>
        <v>1111.1111111111111</v>
      </c>
      <c r="K71" s="76">
        <v>2893</v>
      </c>
      <c r="L71" s="76">
        <f t="shared" si="37"/>
        <v>5555.5555555555557</v>
      </c>
      <c r="M71" s="76">
        <f>SUM(M70+K71)</f>
        <v>7005</v>
      </c>
      <c r="N71" s="78">
        <f t="shared" si="39"/>
        <v>1.2608999999999999</v>
      </c>
      <c r="O71" s="68">
        <v>0</v>
      </c>
      <c r="P71" s="69">
        <v>0</v>
      </c>
      <c r="Q71" s="116"/>
      <c r="R71" s="116"/>
      <c r="S71" s="116"/>
      <c r="T71" s="116"/>
      <c r="U71" s="116"/>
      <c r="V71" s="116"/>
    </row>
    <row r="72" spans="1:22" ht="15.5" x14ac:dyDescent="0.35">
      <c r="A72" s="64">
        <v>2022</v>
      </c>
      <c r="B72" s="64">
        <v>4</v>
      </c>
      <c r="C72" s="65">
        <v>44835</v>
      </c>
      <c r="D72" s="65">
        <v>44926</v>
      </c>
      <c r="E72" s="72">
        <f t="shared" si="34"/>
        <v>18750</v>
      </c>
      <c r="F72" s="73">
        <v>0</v>
      </c>
      <c r="G72" s="73">
        <f>G71+E72</f>
        <v>112500</v>
      </c>
      <c r="H72" s="73">
        <f>SUM(H71+F72)</f>
        <v>187</v>
      </c>
      <c r="I72" s="74">
        <f t="shared" si="35"/>
        <v>1.6622222222222223E-3</v>
      </c>
      <c r="J72" s="75">
        <f t="shared" si="36"/>
        <v>1111.1111111111111</v>
      </c>
      <c r="K72" s="76">
        <v>4438</v>
      </c>
      <c r="L72" s="76">
        <f>L71+J72</f>
        <v>6666.666666666667</v>
      </c>
      <c r="M72" s="76">
        <f>SUM(M71+K72)</f>
        <v>11443</v>
      </c>
      <c r="N72" s="78">
        <f>M72/L72</f>
        <v>1.71645</v>
      </c>
      <c r="O72" s="68">
        <v>0</v>
      </c>
      <c r="P72" s="69">
        <v>0</v>
      </c>
      <c r="Q72" s="116"/>
      <c r="R72" s="116"/>
      <c r="S72" s="116"/>
      <c r="T72" s="116"/>
      <c r="U72" s="116"/>
      <c r="V72" s="116"/>
    </row>
    <row r="73" spans="1:22" ht="15.5" x14ac:dyDescent="0.35">
      <c r="A73" s="64">
        <v>2023</v>
      </c>
      <c r="B73" s="64">
        <v>1</v>
      </c>
      <c r="C73" s="65">
        <v>44927</v>
      </c>
      <c r="D73" s="65">
        <v>45016</v>
      </c>
      <c r="E73" s="72">
        <f t="shared" si="34"/>
        <v>18750</v>
      </c>
      <c r="F73" s="73">
        <v>0</v>
      </c>
      <c r="G73" s="73">
        <f t="shared" ref="G73:G87" si="41">G72+E73</f>
        <v>131250</v>
      </c>
      <c r="H73" s="73">
        <f t="shared" ref="H73:H86" si="42">SUM(H72+F73)</f>
        <v>187</v>
      </c>
      <c r="I73" s="74">
        <f t="shared" si="35"/>
        <v>1.4247619047619048E-3</v>
      </c>
      <c r="J73" s="75">
        <f t="shared" si="36"/>
        <v>1111.1111111111111</v>
      </c>
      <c r="K73" s="76">
        <v>0</v>
      </c>
      <c r="L73" s="76">
        <f>L72+J73</f>
        <v>7777.7777777777783</v>
      </c>
      <c r="M73" s="76">
        <f t="shared" ref="M73:M87" si="43">SUM(M72+K73)</f>
        <v>11443</v>
      </c>
      <c r="N73" s="78">
        <f t="shared" ref="N73:N87" si="44">M73/L73</f>
        <v>1.4712428571428571</v>
      </c>
      <c r="O73" s="68">
        <v>0</v>
      </c>
      <c r="P73" s="69">
        <v>0</v>
      </c>
      <c r="Q73" s="116"/>
      <c r="R73" s="116"/>
      <c r="S73" s="116"/>
      <c r="T73" s="116"/>
      <c r="U73" s="116"/>
      <c r="V73" s="116"/>
    </row>
    <row r="74" spans="1:22" ht="15.5" x14ac:dyDescent="0.35">
      <c r="A74" s="64">
        <v>2023</v>
      </c>
      <c r="B74" s="64">
        <v>2</v>
      </c>
      <c r="C74" s="65">
        <v>45017</v>
      </c>
      <c r="D74" s="65">
        <v>45107</v>
      </c>
      <c r="E74" s="72">
        <f t="shared" si="34"/>
        <v>18750</v>
      </c>
      <c r="F74" s="73">
        <v>0</v>
      </c>
      <c r="G74" s="73">
        <f t="shared" si="41"/>
        <v>150000</v>
      </c>
      <c r="H74" s="73">
        <f t="shared" si="42"/>
        <v>187</v>
      </c>
      <c r="I74" s="74">
        <f t="shared" si="35"/>
        <v>1.2466666666666668E-3</v>
      </c>
      <c r="J74" s="75">
        <f t="shared" si="36"/>
        <v>1111.1111111111111</v>
      </c>
      <c r="K74" s="76">
        <v>0</v>
      </c>
      <c r="L74" s="76">
        <f t="shared" ref="L74" si="45">L73+J74</f>
        <v>8888.8888888888887</v>
      </c>
      <c r="M74" s="76">
        <f t="shared" si="43"/>
        <v>11443</v>
      </c>
      <c r="N74" s="78">
        <f t="shared" si="44"/>
        <v>1.2873375</v>
      </c>
      <c r="O74" s="68">
        <v>0</v>
      </c>
      <c r="P74" s="69">
        <v>0</v>
      </c>
      <c r="Q74" s="116"/>
      <c r="R74" s="116"/>
      <c r="S74" s="116"/>
      <c r="T74" s="116"/>
      <c r="U74" s="116"/>
      <c r="V74" s="116"/>
    </row>
    <row r="75" spans="1:22" ht="15.5" x14ac:dyDescent="0.35">
      <c r="A75" s="64">
        <v>2023</v>
      </c>
      <c r="B75" s="64">
        <v>3</v>
      </c>
      <c r="C75" s="65">
        <v>45108</v>
      </c>
      <c r="D75" s="65">
        <v>45199</v>
      </c>
      <c r="E75" s="72">
        <f t="shared" si="34"/>
        <v>18750</v>
      </c>
      <c r="F75" s="73">
        <v>0</v>
      </c>
      <c r="G75" s="73">
        <f t="shared" si="41"/>
        <v>168750</v>
      </c>
      <c r="H75" s="73">
        <f t="shared" si="42"/>
        <v>187</v>
      </c>
      <c r="I75" s="74">
        <f t="shared" si="35"/>
        <v>1.1081481481481483E-3</v>
      </c>
      <c r="J75" s="75">
        <f t="shared" si="36"/>
        <v>1111.1111111111111</v>
      </c>
      <c r="K75" s="76">
        <v>0</v>
      </c>
      <c r="L75" s="76">
        <f>L74+J75</f>
        <v>10000</v>
      </c>
      <c r="M75" s="76">
        <f t="shared" si="43"/>
        <v>11443</v>
      </c>
      <c r="N75" s="78">
        <f t="shared" si="44"/>
        <v>1.1443000000000001</v>
      </c>
      <c r="O75" s="68">
        <v>0</v>
      </c>
      <c r="P75" s="69">
        <v>0</v>
      </c>
      <c r="Q75" s="116"/>
      <c r="R75" s="116"/>
      <c r="S75" s="116"/>
      <c r="T75" s="116"/>
      <c r="U75" s="116"/>
      <c r="V75" s="116"/>
    </row>
    <row r="76" spans="1:22" ht="15.5" x14ac:dyDescent="0.35">
      <c r="A76" s="64">
        <v>2023</v>
      </c>
      <c r="B76" s="64">
        <v>4</v>
      </c>
      <c r="C76" s="65">
        <v>45200</v>
      </c>
      <c r="D76" s="65">
        <v>45291</v>
      </c>
      <c r="E76" s="72">
        <f t="shared" si="34"/>
        <v>18750</v>
      </c>
      <c r="F76" s="73">
        <v>0</v>
      </c>
      <c r="G76" s="73">
        <f t="shared" si="41"/>
        <v>187500</v>
      </c>
      <c r="H76" s="73">
        <f t="shared" si="42"/>
        <v>187</v>
      </c>
      <c r="I76" s="74">
        <f t="shared" si="35"/>
        <v>9.9733333333333336E-4</v>
      </c>
      <c r="J76" s="75">
        <f t="shared" si="36"/>
        <v>1111.1111111111111</v>
      </c>
      <c r="K76" s="76">
        <v>0</v>
      </c>
      <c r="L76" s="76">
        <f t="shared" ref="L76:L87" si="46">L75+J76</f>
        <v>11111.111111111111</v>
      </c>
      <c r="M76" s="76">
        <f t="shared" si="43"/>
        <v>11443</v>
      </c>
      <c r="N76" s="78">
        <f t="shared" si="44"/>
        <v>1.0298700000000001</v>
      </c>
      <c r="O76" s="68">
        <v>0</v>
      </c>
      <c r="P76" s="69">
        <v>0</v>
      </c>
      <c r="Q76" s="116"/>
      <c r="R76" s="116"/>
      <c r="S76" s="116"/>
      <c r="T76" s="116"/>
      <c r="U76" s="116"/>
      <c r="V76" s="116"/>
    </row>
    <row r="77" spans="1:22" ht="15.5" x14ac:dyDescent="0.35">
      <c r="A77" s="64">
        <v>2024</v>
      </c>
      <c r="B77" s="64">
        <v>1</v>
      </c>
      <c r="C77" s="65">
        <v>45292</v>
      </c>
      <c r="D77" s="65">
        <v>45382</v>
      </c>
      <c r="E77" s="72">
        <f t="shared" si="34"/>
        <v>18750</v>
      </c>
      <c r="F77" s="73">
        <v>0</v>
      </c>
      <c r="G77" s="73">
        <f t="shared" si="41"/>
        <v>206250</v>
      </c>
      <c r="H77" s="73">
        <f t="shared" si="42"/>
        <v>187</v>
      </c>
      <c r="I77" s="74">
        <f t="shared" si="35"/>
        <v>9.0666666666666662E-4</v>
      </c>
      <c r="J77" s="75">
        <f t="shared" si="36"/>
        <v>1111.1111111111111</v>
      </c>
      <c r="K77" s="76">
        <v>0</v>
      </c>
      <c r="L77" s="76">
        <f t="shared" si="46"/>
        <v>12222.222222222223</v>
      </c>
      <c r="M77" s="76">
        <f t="shared" si="43"/>
        <v>11443</v>
      </c>
      <c r="N77" s="78">
        <f t="shared" si="44"/>
        <v>0.93624545454545449</v>
      </c>
      <c r="O77" s="68">
        <v>0</v>
      </c>
      <c r="P77" s="69">
        <v>0</v>
      </c>
      <c r="Q77" s="116"/>
      <c r="R77" s="116"/>
      <c r="S77" s="116"/>
      <c r="T77" s="116"/>
      <c r="U77" s="116"/>
      <c r="V77" s="116"/>
    </row>
    <row r="78" spans="1:22" ht="15.5" x14ac:dyDescent="0.35">
      <c r="A78" s="64">
        <v>2024</v>
      </c>
      <c r="B78" s="64">
        <v>2</v>
      </c>
      <c r="C78" s="65">
        <v>45383</v>
      </c>
      <c r="D78" s="65">
        <v>45473</v>
      </c>
      <c r="E78" s="72">
        <f t="shared" si="34"/>
        <v>18750</v>
      </c>
      <c r="F78" s="73">
        <v>0</v>
      </c>
      <c r="G78" s="73">
        <f t="shared" si="41"/>
        <v>225000</v>
      </c>
      <c r="H78" s="73">
        <f t="shared" si="42"/>
        <v>187</v>
      </c>
      <c r="I78" s="74">
        <f t="shared" si="35"/>
        <v>8.3111111111111113E-4</v>
      </c>
      <c r="J78" s="75">
        <f t="shared" si="36"/>
        <v>1111.1111111111111</v>
      </c>
      <c r="K78" s="76">
        <v>0</v>
      </c>
      <c r="L78" s="76">
        <f t="shared" si="46"/>
        <v>13333.333333333334</v>
      </c>
      <c r="M78" s="76">
        <f t="shared" si="43"/>
        <v>11443</v>
      </c>
      <c r="N78" s="78">
        <f t="shared" si="44"/>
        <v>0.85822500000000002</v>
      </c>
      <c r="O78" s="68">
        <v>0</v>
      </c>
      <c r="P78" s="69">
        <v>0</v>
      </c>
      <c r="Q78" s="116"/>
      <c r="R78" s="116"/>
      <c r="S78" s="116"/>
      <c r="T78" s="116"/>
      <c r="U78" s="116"/>
      <c r="V78" s="116"/>
    </row>
    <row r="79" spans="1:22" ht="15.5" x14ac:dyDescent="0.35">
      <c r="A79" s="64">
        <v>2024</v>
      </c>
      <c r="B79" s="64">
        <v>3</v>
      </c>
      <c r="C79" s="65">
        <v>45474</v>
      </c>
      <c r="D79" s="65">
        <v>45565</v>
      </c>
      <c r="E79" s="72">
        <f t="shared" si="34"/>
        <v>18750</v>
      </c>
      <c r="F79" s="73">
        <v>0</v>
      </c>
      <c r="G79" s="73">
        <f t="shared" si="41"/>
        <v>243750</v>
      </c>
      <c r="H79" s="73">
        <f t="shared" si="42"/>
        <v>187</v>
      </c>
      <c r="I79" s="128">
        <f t="shared" si="35"/>
        <v>7.6717948717948718E-4</v>
      </c>
      <c r="J79" s="75">
        <f t="shared" si="36"/>
        <v>1111.1111111111111</v>
      </c>
      <c r="K79" s="77">
        <v>0</v>
      </c>
      <c r="L79" s="77">
        <f t="shared" si="46"/>
        <v>14444.444444444445</v>
      </c>
      <c r="M79" s="77">
        <f t="shared" si="43"/>
        <v>11443</v>
      </c>
      <c r="N79" s="78">
        <f t="shared" si="44"/>
        <v>0.79220769230769228</v>
      </c>
      <c r="O79" s="131">
        <v>0</v>
      </c>
      <c r="P79" s="130">
        <v>0</v>
      </c>
      <c r="Q79" s="116"/>
      <c r="R79" s="116"/>
      <c r="S79" s="116"/>
      <c r="T79" s="116"/>
      <c r="U79" s="116"/>
      <c r="V79" s="116"/>
    </row>
    <row r="80" spans="1:22" ht="15.5" x14ac:dyDescent="0.35">
      <c r="A80" s="1">
        <v>2024</v>
      </c>
      <c r="B80" s="1">
        <v>4</v>
      </c>
      <c r="C80" s="2">
        <v>45566</v>
      </c>
      <c r="D80" s="2">
        <v>45657</v>
      </c>
      <c r="E80" s="21">
        <f t="shared" si="34"/>
        <v>18750</v>
      </c>
      <c r="F80" s="17"/>
      <c r="G80" s="17">
        <f t="shared" si="41"/>
        <v>262500</v>
      </c>
      <c r="H80" s="17">
        <f t="shared" si="42"/>
        <v>187</v>
      </c>
      <c r="I80" s="124">
        <f t="shared" si="35"/>
        <v>7.123809523809524E-4</v>
      </c>
      <c r="J80" s="10">
        <f t="shared" si="36"/>
        <v>1111.1111111111111</v>
      </c>
      <c r="K80" s="123"/>
      <c r="L80" s="123">
        <f t="shared" si="46"/>
        <v>15555.555555555557</v>
      </c>
      <c r="M80" s="123">
        <f t="shared" si="43"/>
        <v>11443</v>
      </c>
      <c r="N80" s="16">
        <f t="shared" si="44"/>
        <v>0.73562142857142854</v>
      </c>
      <c r="O80" s="14">
        <v>0</v>
      </c>
      <c r="P80" s="3"/>
      <c r="Q80" s="116"/>
      <c r="R80" s="116"/>
      <c r="S80" s="116"/>
      <c r="T80" s="116"/>
      <c r="U80" s="116"/>
      <c r="V80" s="116"/>
    </row>
    <row r="81" spans="1:22" ht="15.5" x14ac:dyDescent="0.35">
      <c r="A81" s="1">
        <v>2025</v>
      </c>
      <c r="B81" s="1">
        <v>1</v>
      </c>
      <c r="C81" s="2">
        <v>45658</v>
      </c>
      <c r="D81" s="2">
        <v>45747</v>
      </c>
      <c r="E81" s="21">
        <f t="shared" si="34"/>
        <v>18750</v>
      </c>
      <c r="F81" s="17"/>
      <c r="G81" s="17">
        <f t="shared" si="41"/>
        <v>281250</v>
      </c>
      <c r="H81" s="17">
        <f t="shared" si="42"/>
        <v>187</v>
      </c>
      <c r="I81" s="124">
        <f t="shared" si="35"/>
        <v>6.6488888888888891E-4</v>
      </c>
      <c r="J81" s="10">
        <f t="shared" si="36"/>
        <v>1111.1111111111111</v>
      </c>
      <c r="K81" s="123"/>
      <c r="L81" s="123">
        <f t="shared" si="46"/>
        <v>16666.666666666668</v>
      </c>
      <c r="M81" s="123">
        <f t="shared" si="43"/>
        <v>11443</v>
      </c>
      <c r="N81" s="16">
        <f t="shared" si="44"/>
        <v>0.68657999999999997</v>
      </c>
      <c r="O81" s="14">
        <v>0</v>
      </c>
      <c r="P81" s="3"/>
      <c r="Q81" s="116"/>
      <c r="R81" s="116"/>
      <c r="S81" s="116"/>
      <c r="T81" s="116"/>
      <c r="U81" s="116"/>
      <c r="V81" s="116"/>
    </row>
    <row r="82" spans="1:22" ht="15.5" x14ac:dyDescent="0.35">
      <c r="A82" s="1">
        <v>2025</v>
      </c>
      <c r="B82" s="1">
        <v>2</v>
      </c>
      <c r="C82" s="2">
        <v>45748</v>
      </c>
      <c r="D82" s="2">
        <v>45838</v>
      </c>
      <c r="E82" s="21">
        <f t="shared" si="34"/>
        <v>18750</v>
      </c>
      <c r="F82" s="17"/>
      <c r="G82" s="17">
        <f t="shared" si="41"/>
        <v>300000</v>
      </c>
      <c r="H82" s="17">
        <f t="shared" si="42"/>
        <v>187</v>
      </c>
      <c r="I82" s="124">
        <f t="shared" si="35"/>
        <v>6.2333333333333338E-4</v>
      </c>
      <c r="J82" s="10">
        <f t="shared" si="36"/>
        <v>1111.1111111111111</v>
      </c>
      <c r="K82" s="123"/>
      <c r="L82" s="123">
        <f t="shared" si="46"/>
        <v>17777.777777777777</v>
      </c>
      <c r="M82" s="123">
        <f t="shared" si="43"/>
        <v>11443</v>
      </c>
      <c r="N82" s="16">
        <f t="shared" si="44"/>
        <v>0.64366875000000001</v>
      </c>
      <c r="O82" s="14">
        <v>0</v>
      </c>
      <c r="P82" s="3"/>
      <c r="Q82" s="116"/>
      <c r="R82" s="116"/>
      <c r="S82" s="116"/>
      <c r="T82" s="116"/>
      <c r="U82" s="116"/>
      <c r="V82" s="116"/>
    </row>
    <row r="83" spans="1:22" ht="15.5" x14ac:dyDescent="0.35">
      <c r="A83" s="1">
        <v>2025</v>
      </c>
      <c r="B83" s="1">
        <v>3</v>
      </c>
      <c r="C83" s="2">
        <v>45839</v>
      </c>
      <c r="D83" s="2">
        <v>45930</v>
      </c>
      <c r="E83" s="21">
        <f t="shared" si="34"/>
        <v>18750</v>
      </c>
      <c r="F83" s="17"/>
      <c r="G83" s="17">
        <f t="shared" si="41"/>
        <v>318750</v>
      </c>
      <c r="H83" s="17">
        <f t="shared" si="42"/>
        <v>187</v>
      </c>
      <c r="I83" s="124">
        <f t="shared" si="35"/>
        <v>5.8666666666666665E-4</v>
      </c>
      <c r="J83" s="10">
        <f t="shared" si="36"/>
        <v>1111.1111111111111</v>
      </c>
      <c r="K83" s="123"/>
      <c r="L83" s="123">
        <f t="shared" si="46"/>
        <v>18888.888888888887</v>
      </c>
      <c r="M83" s="123">
        <f t="shared" si="43"/>
        <v>11443</v>
      </c>
      <c r="N83" s="16">
        <f t="shared" si="44"/>
        <v>0.60580588235294119</v>
      </c>
      <c r="O83" s="14">
        <v>0</v>
      </c>
      <c r="P83" s="3"/>
      <c r="Q83" s="116"/>
      <c r="R83" s="116"/>
      <c r="S83" s="116"/>
      <c r="T83" s="116"/>
      <c r="U83" s="116"/>
      <c r="V83" s="116"/>
    </row>
    <row r="84" spans="1:22" ht="15.5" x14ac:dyDescent="0.35">
      <c r="A84" s="1">
        <v>2025</v>
      </c>
      <c r="B84" s="1">
        <v>4</v>
      </c>
      <c r="C84" s="2">
        <v>45931</v>
      </c>
      <c r="D84" s="2">
        <v>46022</v>
      </c>
      <c r="E84" s="21">
        <f t="shared" si="34"/>
        <v>18750</v>
      </c>
      <c r="F84" s="17"/>
      <c r="G84" s="17">
        <f t="shared" si="41"/>
        <v>337500</v>
      </c>
      <c r="H84" s="17">
        <f t="shared" si="42"/>
        <v>187</v>
      </c>
      <c r="I84" s="124">
        <f t="shared" si="35"/>
        <v>5.5407407407407413E-4</v>
      </c>
      <c r="J84" s="10">
        <f t="shared" si="36"/>
        <v>1111.1111111111111</v>
      </c>
      <c r="K84" s="123"/>
      <c r="L84" s="123">
        <f t="shared" si="46"/>
        <v>19999.999999999996</v>
      </c>
      <c r="M84" s="123">
        <f t="shared" si="43"/>
        <v>11443</v>
      </c>
      <c r="N84" s="16">
        <f t="shared" si="44"/>
        <v>0.57215000000000016</v>
      </c>
      <c r="O84" s="14">
        <v>4</v>
      </c>
      <c r="P84" s="3"/>
      <c r="Q84" s="116"/>
      <c r="R84" s="116"/>
      <c r="S84" s="116"/>
      <c r="T84" s="116"/>
      <c r="U84" s="116"/>
      <c r="V84" s="116"/>
    </row>
    <row r="85" spans="1:22" ht="15.5" x14ac:dyDescent="0.35">
      <c r="A85" s="1">
        <v>2026</v>
      </c>
      <c r="B85" s="1">
        <v>1</v>
      </c>
      <c r="C85" s="2">
        <v>46023</v>
      </c>
      <c r="D85" s="2">
        <v>46112</v>
      </c>
      <c r="E85" s="22">
        <v>0</v>
      </c>
      <c r="F85" s="18"/>
      <c r="G85" s="18">
        <f t="shared" si="41"/>
        <v>337500</v>
      </c>
      <c r="H85" s="18">
        <f t="shared" si="42"/>
        <v>187</v>
      </c>
      <c r="I85" s="24">
        <f>H85/G85</f>
        <v>5.5407407407407413E-4</v>
      </c>
      <c r="J85" s="11">
        <v>0</v>
      </c>
      <c r="K85" s="4"/>
      <c r="L85" s="4">
        <f t="shared" si="46"/>
        <v>19999.999999999996</v>
      </c>
      <c r="M85" s="4">
        <f t="shared" si="43"/>
        <v>11443</v>
      </c>
      <c r="N85" s="16">
        <f t="shared" si="44"/>
        <v>0.57215000000000016</v>
      </c>
      <c r="O85" s="14"/>
      <c r="P85" s="3"/>
      <c r="Q85" s="116"/>
      <c r="R85" s="116"/>
      <c r="S85" s="116"/>
      <c r="T85" s="116"/>
      <c r="U85" s="116"/>
      <c r="V85" s="116"/>
    </row>
    <row r="86" spans="1:22" ht="15.5" x14ac:dyDescent="0.35">
      <c r="A86" s="1">
        <v>2026</v>
      </c>
      <c r="B86" s="1">
        <v>2</v>
      </c>
      <c r="C86" s="2">
        <v>46113</v>
      </c>
      <c r="D86" s="2">
        <v>46203</v>
      </c>
      <c r="E86" s="22">
        <v>0</v>
      </c>
      <c r="F86" s="18"/>
      <c r="G86" s="18">
        <f t="shared" si="41"/>
        <v>337500</v>
      </c>
      <c r="H86" s="18">
        <f t="shared" si="42"/>
        <v>187</v>
      </c>
      <c r="I86" s="24">
        <f t="shared" ref="I86:I87" si="47">H86/G86</f>
        <v>5.5407407407407413E-4</v>
      </c>
      <c r="J86" s="11">
        <v>0</v>
      </c>
      <c r="K86" s="4"/>
      <c r="L86" s="4">
        <f t="shared" si="46"/>
        <v>19999.999999999996</v>
      </c>
      <c r="M86" s="4">
        <f t="shared" si="43"/>
        <v>11443</v>
      </c>
      <c r="N86" s="16">
        <f t="shared" si="44"/>
        <v>0.57215000000000016</v>
      </c>
      <c r="O86" s="14"/>
      <c r="P86" s="3"/>
      <c r="Q86" s="116"/>
      <c r="R86" s="116"/>
      <c r="S86" s="116"/>
      <c r="T86" s="116"/>
      <c r="U86" s="116"/>
      <c r="V86" s="116"/>
    </row>
    <row r="87" spans="1:22" ht="15.5" x14ac:dyDescent="0.35">
      <c r="A87" s="1">
        <v>2026</v>
      </c>
      <c r="B87" s="1">
        <v>3</v>
      </c>
      <c r="C87" s="2">
        <v>46204</v>
      </c>
      <c r="D87" s="2">
        <v>46295</v>
      </c>
      <c r="E87" s="22">
        <v>0</v>
      </c>
      <c r="F87" s="18"/>
      <c r="G87" s="18">
        <f t="shared" si="41"/>
        <v>337500</v>
      </c>
      <c r="H87" s="18">
        <f>SUM(H86+F87)</f>
        <v>187</v>
      </c>
      <c r="I87" s="24">
        <f t="shared" si="47"/>
        <v>5.5407407407407413E-4</v>
      </c>
      <c r="J87" s="11">
        <v>0</v>
      </c>
      <c r="K87" s="15"/>
      <c r="L87" s="15">
        <f t="shared" si="46"/>
        <v>19999.999999999996</v>
      </c>
      <c r="M87" s="15">
        <f t="shared" si="43"/>
        <v>11443</v>
      </c>
      <c r="N87" s="16">
        <f t="shared" si="44"/>
        <v>0.57215000000000016</v>
      </c>
      <c r="O87" s="14"/>
      <c r="P87" s="3"/>
      <c r="Q87" s="116"/>
      <c r="R87" s="116"/>
      <c r="S87" s="116"/>
      <c r="T87" s="116"/>
      <c r="U87" s="116"/>
      <c r="V87" s="116"/>
    </row>
    <row r="88" spans="1:22" ht="15" thickBot="1" x14ac:dyDescent="0.4">
      <c r="A88" s="36" t="s">
        <v>12</v>
      </c>
      <c r="B88" s="36"/>
      <c r="C88" s="36"/>
      <c r="D88" s="37"/>
      <c r="E88" s="38">
        <f>301750+35750</f>
        <v>337500</v>
      </c>
      <c r="F88" s="34">
        <f>SUM(F64:F87)</f>
        <v>187</v>
      </c>
      <c r="G88" s="34">
        <f>G87</f>
        <v>337500</v>
      </c>
      <c r="H88" s="35">
        <f>H87</f>
        <v>187</v>
      </c>
      <c r="I88" s="45">
        <f>H88/G88</f>
        <v>5.5407407407407413E-4</v>
      </c>
      <c r="J88" s="39">
        <v>20000</v>
      </c>
      <c r="K88" s="46">
        <f>SUM(K64:K87)</f>
        <v>11443</v>
      </c>
      <c r="L88" s="40">
        <f>L87</f>
        <v>19999.999999999996</v>
      </c>
      <c r="M88" s="41">
        <f>M87</f>
        <v>11443</v>
      </c>
      <c r="N88" s="42">
        <f>M88/L88</f>
        <v>0.57215000000000016</v>
      </c>
      <c r="O88" s="43">
        <f>SUM(O64:O87)</f>
        <v>4</v>
      </c>
      <c r="P88" s="43">
        <f>SUM(P64:P87)</f>
        <v>0</v>
      </c>
      <c r="Q88" s="116"/>
      <c r="R88" s="116"/>
      <c r="S88" s="116"/>
      <c r="T88" s="116"/>
      <c r="U88" s="116"/>
      <c r="V88" s="116"/>
    </row>
    <row r="89" spans="1:22" ht="15" thickTop="1" x14ac:dyDescent="0.35">
      <c r="E89" s="33">
        <f>E88+J88</f>
        <v>357500</v>
      </c>
    </row>
    <row r="91" spans="1:22" x14ac:dyDescent="0.35">
      <c r="A91" s="198" t="s">
        <v>82</v>
      </c>
      <c r="B91" s="198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16"/>
      <c r="R91" s="116"/>
      <c r="S91" s="116"/>
      <c r="T91" s="116"/>
      <c r="U91" s="116"/>
      <c r="V91" s="116"/>
    </row>
    <row r="92" spans="1:22" ht="15" thickBot="1" x14ac:dyDescent="0.4">
      <c r="A92" s="202" t="s">
        <v>0</v>
      </c>
      <c r="B92" s="204"/>
      <c r="C92" s="204"/>
      <c r="D92" s="204"/>
      <c r="E92" s="193" t="s">
        <v>19</v>
      </c>
      <c r="F92" s="193"/>
      <c r="G92" s="193"/>
      <c r="H92" s="193"/>
      <c r="I92" s="194"/>
      <c r="J92" s="195" t="s">
        <v>20</v>
      </c>
      <c r="K92" s="196"/>
      <c r="L92" s="196"/>
      <c r="M92" s="196"/>
      <c r="N92" s="197"/>
      <c r="O92" s="12"/>
      <c r="P92" s="6"/>
      <c r="Q92" s="116"/>
      <c r="R92" s="116"/>
      <c r="S92" s="116"/>
      <c r="T92" s="116"/>
      <c r="U92" s="116"/>
      <c r="V92" s="116"/>
    </row>
    <row r="93" spans="1:22" ht="58.5" thickTop="1" x14ac:dyDescent="0.35">
      <c r="A93" s="7" t="s">
        <v>1</v>
      </c>
      <c r="B93" s="7" t="s">
        <v>2</v>
      </c>
      <c r="C93" s="7" t="s">
        <v>3</v>
      </c>
      <c r="D93" s="9" t="s">
        <v>9</v>
      </c>
      <c r="E93" s="19" t="s">
        <v>4</v>
      </c>
      <c r="F93" s="20" t="s">
        <v>6</v>
      </c>
      <c r="G93" s="20" t="s">
        <v>5</v>
      </c>
      <c r="H93" s="20" t="s">
        <v>7</v>
      </c>
      <c r="I93" s="23" t="s">
        <v>8</v>
      </c>
      <c r="J93" s="25" t="s">
        <v>4</v>
      </c>
      <c r="K93" s="26" t="s">
        <v>6</v>
      </c>
      <c r="L93" s="26" t="s">
        <v>5</v>
      </c>
      <c r="M93" s="26" t="s">
        <v>7</v>
      </c>
      <c r="N93" s="27" t="s">
        <v>8</v>
      </c>
      <c r="O93" s="13" t="s">
        <v>10</v>
      </c>
      <c r="P93" s="8" t="s">
        <v>11</v>
      </c>
      <c r="Q93" s="116"/>
      <c r="R93" s="116"/>
      <c r="S93" s="116"/>
      <c r="T93" s="116"/>
      <c r="U93" s="116"/>
      <c r="V93" s="116"/>
    </row>
    <row r="94" spans="1:22" ht="15.5" x14ac:dyDescent="0.35">
      <c r="A94" s="64">
        <v>2020</v>
      </c>
      <c r="B94" s="64">
        <v>4</v>
      </c>
      <c r="C94" s="65">
        <v>44105</v>
      </c>
      <c r="D94" s="65">
        <v>44196</v>
      </c>
      <c r="E94" s="66">
        <v>0</v>
      </c>
      <c r="F94" s="66">
        <v>0</v>
      </c>
      <c r="G94" s="66">
        <v>0</v>
      </c>
      <c r="H94" s="66">
        <v>0</v>
      </c>
      <c r="I94" s="67">
        <v>0</v>
      </c>
      <c r="J94" s="66">
        <v>0</v>
      </c>
      <c r="K94" s="66">
        <v>0</v>
      </c>
      <c r="L94" s="66">
        <v>0</v>
      </c>
      <c r="M94" s="66">
        <v>0</v>
      </c>
      <c r="N94" s="67">
        <v>0</v>
      </c>
      <c r="O94" s="68">
        <v>0</v>
      </c>
      <c r="P94" s="69">
        <v>0</v>
      </c>
      <c r="Q94" s="116"/>
      <c r="R94" s="116"/>
      <c r="S94" s="116"/>
      <c r="T94" s="116"/>
      <c r="U94" s="116"/>
      <c r="V94" s="116"/>
    </row>
    <row r="95" spans="1:22" s="108" customFormat="1" ht="15.5" x14ac:dyDescent="0.35">
      <c r="A95" s="64">
        <v>2021</v>
      </c>
      <c r="B95" s="64">
        <v>1</v>
      </c>
      <c r="C95" s="65">
        <v>44197</v>
      </c>
      <c r="D95" s="65">
        <v>44286</v>
      </c>
      <c r="E95" s="66">
        <v>0</v>
      </c>
      <c r="F95" s="66">
        <v>0</v>
      </c>
      <c r="G95" s="66">
        <v>0</v>
      </c>
      <c r="H95" s="66">
        <v>0</v>
      </c>
      <c r="I95" s="67">
        <v>0</v>
      </c>
      <c r="J95" s="66">
        <v>0</v>
      </c>
      <c r="K95" s="66">
        <v>0</v>
      </c>
      <c r="L95" s="66">
        <v>0</v>
      </c>
      <c r="M95" s="66">
        <v>0</v>
      </c>
      <c r="N95" s="67">
        <v>0</v>
      </c>
      <c r="O95" s="68">
        <v>0</v>
      </c>
      <c r="P95" s="69">
        <v>0</v>
      </c>
      <c r="Q95" s="116"/>
      <c r="R95" s="116"/>
      <c r="S95" s="116"/>
      <c r="T95" s="116"/>
      <c r="U95" s="116"/>
      <c r="V95" s="116"/>
    </row>
    <row r="96" spans="1:22" ht="15.5" x14ac:dyDescent="0.35">
      <c r="A96" s="89">
        <v>2021</v>
      </c>
      <c r="B96" s="89">
        <v>2</v>
      </c>
      <c r="C96" s="90">
        <v>44287</v>
      </c>
      <c r="D96" s="90">
        <v>44377</v>
      </c>
      <c r="E96" s="100">
        <v>0</v>
      </c>
      <c r="F96" s="92">
        <v>0</v>
      </c>
      <c r="G96" s="92">
        <f>E96</f>
        <v>0</v>
      </c>
      <c r="H96" s="92">
        <f>SUM(F96+0)</f>
        <v>0</v>
      </c>
      <c r="I96" s="101">
        <v>0</v>
      </c>
      <c r="J96" s="102">
        <v>0</v>
      </c>
      <c r="K96" s="103">
        <v>0</v>
      </c>
      <c r="L96" s="104">
        <f>J96</f>
        <v>0</v>
      </c>
      <c r="M96" s="103">
        <f>SUM(K96+0)</f>
        <v>0</v>
      </c>
      <c r="N96" s="105">
        <v>0</v>
      </c>
      <c r="O96" s="106">
        <v>0</v>
      </c>
      <c r="P96" s="107">
        <v>0</v>
      </c>
      <c r="Q96" s="116"/>
      <c r="R96" s="116"/>
      <c r="S96" s="116"/>
      <c r="T96" s="116"/>
      <c r="U96" s="116"/>
      <c r="V96" s="116"/>
    </row>
    <row r="97" spans="1:22" ht="15.5" x14ac:dyDescent="0.35">
      <c r="A97" s="64">
        <v>2021</v>
      </c>
      <c r="B97" s="64">
        <v>3</v>
      </c>
      <c r="C97" s="65">
        <v>44378</v>
      </c>
      <c r="D97" s="65">
        <v>44469</v>
      </c>
      <c r="E97" s="72">
        <f>$E$118/14</f>
        <v>12232.142857142857</v>
      </c>
      <c r="F97" s="73"/>
      <c r="G97" s="73">
        <f t="shared" ref="G97:G98" si="48">G96+E97</f>
        <v>12232.142857142857</v>
      </c>
      <c r="H97" s="73">
        <f t="shared" ref="H97:H101" si="49">SUM(H96+F97)</f>
        <v>0</v>
      </c>
      <c r="I97" s="74">
        <v>0</v>
      </c>
      <c r="J97" s="75">
        <f>$J$118/14</f>
        <v>857.14285714285711</v>
      </c>
      <c r="K97" s="76"/>
      <c r="L97" s="76">
        <f>L96+J97</f>
        <v>857.14285714285711</v>
      </c>
      <c r="M97" s="76">
        <f>SUM(M96+K97)</f>
        <v>0</v>
      </c>
      <c r="N97" s="78">
        <v>0</v>
      </c>
      <c r="O97" s="68">
        <v>0</v>
      </c>
      <c r="P97" s="69">
        <v>0</v>
      </c>
      <c r="Q97" s="116"/>
      <c r="R97" s="116"/>
      <c r="S97" s="116"/>
      <c r="T97" s="116"/>
      <c r="U97" s="116"/>
      <c r="V97" s="116"/>
    </row>
    <row r="98" spans="1:22" ht="15.5" x14ac:dyDescent="0.35">
      <c r="A98" s="64">
        <v>2022</v>
      </c>
      <c r="B98" s="64">
        <v>4</v>
      </c>
      <c r="C98" s="65">
        <v>44470</v>
      </c>
      <c r="D98" s="65">
        <v>44561</v>
      </c>
      <c r="E98" s="72">
        <f t="shared" ref="E98:E110" si="50">$E$118/14</f>
        <v>12232.142857142857</v>
      </c>
      <c r="F98" s="73"/>
      <c r="G98" s="73">
        <f t="shared" si="48"/>
        <v>24464.285714285714</v>
      </c>
      <c r="H98" s="73">
        <f t="shared" si="49"/>
        <v>0</v>
      </c>
      <c r="I98" s="74">
        <f t="shared" ref="I98:I114" si="51">H98/G98</f>
        <v>0</v>
      </c>
      <c r="J98" s="75">
        <f t="shared" ref="J98:J110" si="52">$J$118/14</f>
        <v>857.14285714285711</v>
      </c>
      <c r="K98" s="76"/>
      <c r="L98" s="76">
        <f t="shared" ref="L98:L101" si="53">L97+J98</f>
        <v>1714.2857142857142</v>
      </c>
      <c r="M98" s="76">
        <f t="shared" ref="M98:M100" si="54">SUM(M97+K98)</f>
        <v>0</v>
      </c>
      <c r="N98" s="78">
        <f t="shared" ref="N98:N101" si="55">M98/L98</f>
        <v>0</v>
      </c>
      <c r="O98" s="68">
        <v>0</v>
      </c>
      <c r="P98" s="69">
        <v>0</v>
      </c>
      <c r="Q98" s="116"/>
      <c r="R98" s="116"/>
      <c r="S98" s="116"/>
      <c r="T98" s="116"/>
      <c r="U98" s="116"/>
      <c r="V98" s="116"/>
    </row>
    <row r="99" spans="1:22" ht="15.5" x14ac:dyDescent="0.35">
      <c r="A99" s="64">
        <v>2022</v>
      </c>
      <c r="B99" s="64">
        <v>1</v>
      </c>
      <c r="C99" s="65">
        <v>44562</v>
      </c>
      <c r="D99" s="65">
        <v>44651</v>
      </c>
      <c r="E99" s="72">
        <f t="shared" si="50"/>
        <v>12232.142857142857</v>
      </c>
      <c r="F99" s="73"/>
      <c r="G99" s="73">
        <f>G98+E99</f>
        <v>36696.428571428572</v>
      </c>
      <c r="H99" s="73">
        <f t="shared" si="49"/>
        <v>0</v>
      </c>
      <c r="I99" s="74">
        <f t="shared" si="51"/>
        <v>0</v>
      </c>
      <c r="J99" s="75">
        <f t="shared" si="52"/>
        <v>857.14285714285711</v>
      </c>
      <c r="K99" s="76">
        <v>1652</v>
      </c>
      <c r="L99" s="76">
        <f t="shared" si="53"/>
        <v>2571.4285714285716</v>
      </c>
      <c r="M99" s="76">
        <f t="shared" si="54"/>
        <v>1652</v>
      </c>
      <c r="N99" s="78">
        <f t="shared" si="55"/>
        <v>0.64244444444444437</v>
      </c>
      <c r="O99" s="68">
        <v>0</v>
      </c>
      <c r="P99" s="69">
        <v>0</v>
      </c>
      <c r="Q99" s="116"/>
      <c r="R99" s="116"/>
      <c r="S99" s="116"/>
      <c r="T99" s="116"/>
      <c r="U99" s="116"/>
      <c r="V99" s="116"/>
    </row>
    <row r="100" spans="1:22" ht="15.5" x14ac:dyDescent="0.35">
      <c r="A100" s="64">
        <v>2022</v>
      </c>
      <c r="B100" s="64">
        <v>2</v>
      </c>
      <c r="C100" s="65">
        <v>44652</v>
      </c>
      <c r="D100" s="65">
        <v>44742</v>
      </c>
      <c r="E100" s="72">
        <f t="shared" si="50"/>
        <v>12232.142857142857</v>
      </c>
      <c r="F100" s="73"/>
      <c r="G100" s="73">
        <f t="shared" ref="G100:G101" si="56">G99+E100</f>
        <v>48928.571428571428</v>
      </c>
      <c r="H100" s="73">
        <f t="shared" si="49"/>
        <v>0</v>
      </c>
      <c r="I100" s="74">
        <f t="shared" si="51"/>
        <v>0</v>
      </c>
      <c r="J100" s="75">
        <f t="shared" si="52"/>
        <v>857.14285714285711</v>
      </c>
      <c r="K100" s="76"/>
      <c r="L100" s="76">
        <f t="shared" si="53"/>
        <v>3428.5714285714284</v>
      </c>
      <c r="M100" s="76">
        <f t="shared" si="54"/>
        <v>1652</v>
      </c>
      <c r="N100" s="78">
        <f t="shared" si="55"/>
        <v>0.48183333333333334</v>
      </c>
      <c r="O100" s="68">
        <v>0</v>
      </c>
      <c r="P100" s="69">
        <v>0</v>
      </c>
      <c r="Q100" s="116"/>
      <c r="R100" s="116"/>
      <c r="S100" s="116"/>
      <c r="T100" s="116"/>
      <c r="U100" s="116"/>
      <c r="V100" s="116"/>
    </row>
    <row r="101" spans="1:22" ht="15.5" x14ac:dyDescent="0.35">
      <c r="A101" s="64">
        <v>2022</v>
      </c>
      <c r="B101" s="64">
        <v>3</v>
      </c>
      <c r="C101" s="65">
        <v>44743</v>
      </c>
      <c r="D101" s="65">
        <v>44834</v>
      </c>
      <c r="E101" s="72">
        <f t="shared" si="50"/>
        <v>12232.142857142857</v>
      </c>
      <c r="F101" s="73"/>
      <c r="G101" s="73">
        <f t="shared" si="56"/>
        <v>61160.714285714283</v>
      </c>
      <c r="H101" s="73">
        <f t="shared" si="49"/>
        <v>0</v>
      </c>
      <c r="I101" s="74">
        <f t="shared" si="51"/>
        <v>0</v>
      </c>
      <c r="J101" s="75">
        <f t="shared" si="52"/>
        <v>857.14285714285711</v>
      </c>
      <c r="K101" s="76">
        <v>1522</v>
      </c>
      <c r="L101" s="76">
        <f t="shared" si="53"/>
        <v>4285.7142857142853</v>
      </c>
      <c r="M101" s="76">
        <f>SUM(M100+K101)</f>
        <v>3174</v>
      </c>
      <c r="N101" s="78">
        <f t="shared" si="55"/>
        <v>0.74060000000000004</v>
      </c>
      <c r="O101" s="68">
        <v>0</v>
      </c>
      <c r="P101" s="69">
        <v>0</v>
      </c>
      <c r="Q101" s="116"/>
      <c r="R101" s="116"/>
      <c r="S101" s="116"/>
      <c r="T101" s="116"/>
      <c r="U101" s="116"/>
      <c r="V101" s="116"/>
    </row>
    <row r="102" spans="1:22" ht="15.5" x14ac:dyDescent="0.35">
      <c r="A102" s="64">
        <v>2022</v>
      </c>
      <c r="B102" s="64">
        <v>4</v>
      </c>
      <c r="C102" s="65">
        <v>44835</v>
      </c>
      <c r="D102" s="65">
        <v>44926</v>
      </c>
      <c r="E102" s="72">
        <f t="shared" si="50"/>
        <v>12232.142857142857</v>
      </c>
      <c r="F102" s="73">
        <v>3410</v>
      </c>
      <c r="G102" s="73">
        <f>G101+E102</f>
        <v>73392.857142857145</v>
      </c>
      <c r="H102" s="73">
        <f>SUM(H101+F102)</f>
        <v>3410</v>
      </c>
      <c r="I102" s="74">
        <f t="shared" si="51"/>
        <v>4.6462287104622871E-2</v>
      </c>
      <c r="J102" s="75">
        <f t="shared" si="52"/>
        <v>857.14285714285711</v>
      </c>
      <c r="K102" s="76">
        <v>1552</v>
      </c>
      <c r="L102" s="76">
        <f>L101+J102</f>
        <v>5142.8571428571422</v>
      </c>
      <c r="M102" s="76">
        <f>SUM(M101+K102)</f>
        <v>4726</v>
      </c>
      <c r="N102" s="78">
        <f>M102/L102</f>
        <v>0.91894444444444456</v>
      </c>
      <c r="O102" s="68">
        <v>0</v>
      </c>
      <c r="P102" s="69">
        <v>0</v>
      </c>
      <c r="Q102" s="116"/>
      <c r="R102" s="116"/>
      <c r="S102" s="116"/>
      <c r="T102" s="116"/>
      <c r="U102" s="116"/>
      <c r="V102" s="116"/>
    </row>
    <row r="103" spans="1:22" ht="15.5" x14ac:dyDescent="0.35">
      <c r="A103" s="64">
        <v>2023</v>
      </c>
      <c r="B103" s="64">
        <v>1</v>
      </c>
      <c r="C103" s="65">
        <v>44927</v>
      </c>
      <c r="D103" s="65">
        <v>45016</v>
      </c>
      <c r="E103" s="72">
        <f t="shared" si="50"/>
        <v>12232.142857142857</v>
      </c>
      <c r="F103" s="73"/>
      <c r="G103" s="73">
        <f t="shared" ref="G103:G117" si="57">G102+E103</f>
        <v>85625</v>
      </c>
      <c r="H103" s="73">
        <f t="shared" ref="H103:H116" si="58">SUM(H102+F103)</f>
        <v>3410</v>
      </c>
      <c r="I103" s="74">
        <f t="shared" si="51"/>
        <v>3.9824817518248172E-2</v>
      </c>
      <c r="J103" s="75">
        <f t="shared" si="52"/>
        <v>857.14285714285711</v>
      </c>
      <c r="K103" s="76"/>
      <c r="L103" s="76">
        <f>L102+J103</f>
        <v>5999.9999999999991</v>
      </c>
      <c r="M103" s="76">
        <f t="shared" ref="M103:M117" si="59">SUM(M102+K103)</f>
        <v>4726</v>
      </c>
      <c r="N103" s="78">
        <f t="shared" ref="N103:N117" si="60">M103/L103</f>
        <v>0.78766666666666674</v>
      </c>
      <c r="O103" s="68">
        <v>0</v>
      </c>
      <c r="P103" s="69">
        <v>0</v>
      </c>
      <c r="Q103" s="116"/>
      <c r="R103" s="116"/>
      <c r="S103" s="116"/>
      <c r="T103" s="116"/>
      <c r="U103" s="116"/>
      <c r="V103" s="116"/>
    </row>
    <row r="104" spans="1:22" ht="15.5" x14ac:dyDescent="0.35">
      <c r="A104" s="64">
        <v>2023</v>
      </c>
      <c r="B104" s="64">
        <v>2</v>
      </c>
      <c r="C104" s="65">
        <v>45017</v>
      </c>
      <c r="D104" s="65">
        <v>45107</v>
      </c>
      <c r="E104" s="72">
        <f t="shared" si="50"/>
        <v>12232.142857142857</v>
      </c>
      <c r="F104" s="73">
        <v>463</v>
      </c>
      <c r="G104" s="73">
        <f t="shared" si="57"/>
        <v>97857.142857142855</v>
      </c>
      <c r="H104" s="73">
        <f t="shared" si="58"/>
        <v>3873</v>
      </c>
      <c r="I104" s="74">
        <f t="shared" si="51"/>
        <v>3.9578102189781021E-2</v>
      </c>
      <c r="J104" s="75">
        <f t="shared" si="52"/>
        <v>857.14285714285711</v>
      </c>
      <c r="K104" s="76">
        <v>1472</v>
      </c>
      <c r="L104" s="76">
        <f t="shared" ref="L104" si="61">L103+J104</f>
        <v>6857.142857142856</v>
      </c>
      <c r="M104" s="76">
        <f t="shared" si="59"/>
        <v>6198</v>
      </c>
      <c r="N104" s="78">
        <f t="shared" si="60"/>
        <v>0.90387500000000021</v>
      </c>
      <c r="O104" s="68">
        <v>0</v>
      </c>
      <c r="P104" s="69">
        <v>0</v>
      </c>
      <c r="Q104" s="116"/>
      <c r="R104" s="116"/>
      <c r="S104" s="116"/>
      <c r="T104" s="116"/>
      <c r="U104" s="116"/>
      <c r="V104" s="116"/>
    </row>
    <row r="105" spans="1:22" ht="15.5" x14ac:dyDescent="0.35">
      <c r="A105" s="64">
        <v>2023</v>
      </c>
      <c r="B105" s="64">
        <v>3</v>
      </c>
      <c r="C105" s="65">
        <v>45108</v>
      </c>
      <c r="D105" s="65">
        <v>45199</v>
      </c>
      <c r="E105" s="72">
        <f t="shared" si="50"/>
        <v>12232.142857142857</v>
      </c>
      <c r="F105" s="73">
        <v>7512.88</v>
      </c>
      <c r="G105" s="73">
        <f t="shared" si="57"/>
        <v>110089.28571428571</v>
      </c>
      <c r="H105" s="73">
        <f t="shared" si="58"/>
        <v>11385.880000000001</v>
      </c>
      <c r="I105" s="74">
        <f t="shared" si="51"/>
        <v>0.10342405190592054</v>
      </c>
      <c r="J105" s="75">
        <f t="shared" si="52"/>
        <v>857.14285714285711</v>
      </c>
      <c r="K105" s="76">
        <v>0</v>
      </c>
      <c r="L105" s="76">
        <f>L104+J105</f>
        <v>7714.2857142857129</v>
      </c>
      <c r="M105" s="76">
        <f t="shared" si="59"/>
        <v>6198</v>
      </c>
      <c r="N105" s="78">
        <f t="shared" si="60"/>
        <v>0.80344444444444463</v>
      </c>
      <c r="O105" s="68">
        <v>0</v>
      </c>
      <c r="P105" s="69">
        <v>0</v>
      </c>
      <c r="Q105" s="116"/>
      <c r="R105" s="116"/>
      <c r="S105" s="116"/>
      <c r="T105" s="116"/>
      <c r="U105" s="116"/>
      <c r="V105" s="116"/>
    </row>
    <row r="106" spans="1:22" ht="15.5" x14ac:dyDescent="0.35">
      <c r="A106" s="64">
        <v>2023</v>
      </c>
      <c r="B106" s="64">
        <v>4</v>
      </c>
      <c r="C106" s="65">
        <v>45200</v>
      </c>
      <c r="D106" s="65">
        <v>45291</v>
      </c>
      <c r="E106" s="72">
        <f t="shared" si="50"/>
        <v>12232.142857142857</v>
      </c>
      <c r="F106" s="73">
        <v>134459.01999999999</v>
      </c>
      <c r="G106" s="73">
        <f t="shared" si="57"/>
        <v>122321.42857142857</v>
      </c>
      <c r="H106" s="73">
        <f t="shared" si="58"/>
        <v>145844.9</v>
      </c>
      <c r="I106" s="74">
        <f t="shared" si="51"/>
        <v>1.1923086715328468</v>
      </c>
      <c r="J106" s="75">
        <f t="shared" si="52"/>
        <v>857.14285714285711</v>
      </c>
      <c r="K106" s="76">
        <v>552</v>
      </c>
      <c r="L106" s="76">
        <f t="shared" ref="L106:L117" si="62">L105+J106</f>
        <v>8571.4285714285706</v>
      </c>
      <c r="M106" s="76">
        <f t="shared" si="59"/>
        <v>6750</v>
      </c>
      <c r="N106" s="78">
        <f t="shared" si="60"/>
        <v>0.78750000000000009</v>
      </c>
      <c r="O106" s="68">
        <v>0</v>
      </c>
      <c r="P106" s="69">
        <v>0</v>
      </c>
      <c r="Q106" s="116"/>
      <c r="R106" s="116"/>
      <c r="S106" s="116"/>
      <c r="T106" s="116"/>
      <c r="U106" s="116"/>
      <c r="V106" s="116"/>
    </row>
    <row r="107" spans="1:22" ht="15.5" x14ac:dyDescent="0.35">
      <c r="A107" s="64">
        <v>2024</v>
      </c>
      <c r="B107" s="64">
        <v>1</v>
      </c>
      <c r="C107" s="65">
        <v>45292</v>
      </c>
      <c r="D107" s="65">
        <v>45382</v>
      </c>
      <c r="E107" s="72">
        <f t="shared" si="50"/>
        <v>12232.142857142857</v>
      </c>
      <c r="F107" s="73">
        <v>8280.1</v>
      </c>
      <c r="G107" s="73">
        <f t="shared" si="57"/>
        <v>134553.57142857142</v>
      </c>
      <c r="H107" s="73">
        <f t="shared" si="58"/>
        <v>154125</v>
      </c>
      <c r="I107" s="74">
        <f t="shared" si="51"/>
        <v>1.1454545454545455</v>
      </c>
      <c r="J107" s="75">
        <f t="shared" si="52"/>
        <v>857.14285714285711</v>
      </c>
      <c r="K107" s="76">
        <v>0</v>
      </c>
      <c r="L107" s="76">
        <f t="shared" si="62"/>
        <v>9428.5714285714275</v>
      </c>
      <c r="M107" s="76">
        <f t="shared" si="59"/>
        <v>6750</v>
      </c>
      <c r="N107" s="78">
        <f t="shared" si="60"/>
        <v>0.71590909090909094</v>
      </c>
      <c r="O107" s="68">
        <v>0</v>
      </c>
      <c r="P107" s="69">
        <v>0</v>
      </c>
      <c r="Q107" s="116"/>
      <c r="R107" s="116"/>
      <c r="S107" s="116"/>
      <c r="T107" s="116"/>
      <c r="U107" s="116"/>
      <c r="V107" s="116"/>
    </row>
    <row r="108" spans="1:22" ht="15.5" x14ac:dyDescent="0.35">
      <c r="A108" s="64">
        <v>2024</v>
      </c>
      <c r="B108" s="64">
        <v>2</v>
      </c>
      <c r="C108" s="65">
        <v>45383</v>
      </c>
      <c r="D108" s="65">
        <v>45473</v>
      </c>
      <c r="E108" s="72">
        <f t="shared" si="50"/>
        <v>12232.142857142857</v>
      </c>
      <c r="F108" s="73">
        <v>0</v>
      </c>
      <c r="G108" s="73">
        <f t="shared" si="57"/>
        <v>146785.71428571429</v>
      </c>
      <c r="H108" s="73">
        <f t="shared" si="58"/>
        <v>154125</v>
      </c>
      <c r="I108" s="74">
        <f t="shared" si="51"/>
        <v>1.05</v>
      </c>
      <c r="J108" s="75">
        <f t="shared" si="52"/>
        <v>857.14285714285711</v>
      </c>
      <c r="K108" s="76">
        <v>0</v>
      </c>
      <c r="L108" s="76">
        <f t="shared" si="62"/>
        <v>10285.714285714284</v>
      </c>
      <c r="M108" s="76">
        <f t="shared" si="59"/>
        <v>6750</v>
      </c>
      <c r="N108" s="78">
        <f t="shared" si="60"/>
        <v>0.65625000000000011</v>
      </c>
      <c r="O108" s="68">
        <v>0</v>
      </c>
      <c r="P108" s="69">
        <v>0</v>
      </c>
      <c r="Q108" s="116"/>
      <c r="R108" s="116"/>
      <c r="S108" s="116"/>
      <c r="T108" s="116"/>
      <c r="U108" s="116"/>
      <c r="V108" s="116"/>
    </row>
    <row r="109" spans="1:22" ht="15.5" x14ac:dyDescent="0.35">
      <c r="A109" s="64">
        <v>2024</v>
      </c>
      <c r="B109" s="64">
        <v>3</v>
      </c>
      <c r="C109" s="65">
        <v>45474</v>
      </c>
      <c r="D109" s="65">
        <v>45565</v>
      </c>
      <c r="E109" s="72">
        <f t="shared" si="50"/>
        <v>12232.142857142857</v>
      </c>
      <c r="F109" s="73"/>
      <c r="G109" s="73">
        <f t="shared" si="57"/>
        <v>159017.85714285716</v>
      </c>
      <c r="H109" s="73">
        <f t="shared" si="58"/>
        <v>154125</v>
      </c>
      <c r="I109" s="128">
        <f t="shared" si="51"/>
        <v>0.96923076923076912</v>
      </c>
      <c r="J109" s="75">
        <f t="shared" si="52"/>
        <v>857.14285714285711</v>
      </c>
      <c r="K109" s="77">
        <v>0</v>
      </c>
      <c r="L109" s="77">
        <f t="shared" si="62"/>
        <v>11142.857142857141</v>
      </c>
      <c r="M109" s="77">
        <f t="shared" si="59"/>
        <v>6750</v>
      </c>
      <c r="N109" s="78">
        <f t="shared" si="60"/>
        <v>0.60576923076923084</v>
      </c>
      <c r="O109" s="131">
        <v>0</v>
      </c>
      <c r="P109" s="130">
        <v>2</v>
      </c>
      <c r="Q109" s="116"/>
      <c r="R109" s="116"/>
      <c r="S109" s="116"/>
      <c r="T109" s="116"/>
      <c r="U109" s="116"/>
      <c r="V109" s="116"/>
    </row>
    <row r="110" spans="1:22" ht="15.5" x14ac:dyDescent="0.35">
      <c r="A110" s="1">
        <v>2024</v>
      </c>
      <c r="B110" s="1">
        <v>4</v>
      </c>
      <c r="C110" s="2">
        <v>45566</v>
      </c>
      <c r="D110" s="2">
        <v>45657</v>
      </c>
      <c r="E110" s="21">
        <f t="shared" si="50"/>
        <v>12232.142857142857</v>
      </c>
      <c r="F110" s="17"/>
      <c r="G110" s="17">
        <f t="shared" si="57"/>
        <v>171250.00000000003</v>
      </c>
      <c r="H110" s="17">
        <f t="shared" si="58"/>
        <v>154125</v>
      </c>
      <c r="I110" s="124">
        <f t="shared" si="51"/>
        <v>0.8999999999999998</v>
      </c>
      <c r="J110" s="10">
        <f t="shared" si="52"/>
        <v>857.14285714285711</v>
      </c>
      <c r="K110" s="123"/>
      <c r="L110" s="123">
        <f t="shared" si="62"/>
        <v>11999.999999999998</v>
      </c>
      <c r="M110" s="123">
        <f t="shared" si="59"/>
        <v>6750</v>
      </c>
      <c r="N110" s="16">
        <f t="shared" si="60"/>
        <v>0.56250000000000011</v>
      </c>
      <c r="O110" s="14">
        <v>2</v>
      </c>
      <c r="P110" s="3"/>
      <c r="Q110" s="116"/>
      <c r="R110" s="116"/>
      <c r="S110" s="116"/>
      <c r="T110" s="116"/>
      <c r="U110" s="116"/>
      <c r="V110" s="116"/>
    </row>
    <row r="111" spans="1:22" ht="15.5" x14ac:dyDescent="0.35">
      <c r="A111" s="1">
        <v>2025</v>
      </c>
      <c r="B111" s="1">
        <v>1</v>
      </c>
      <c r="C111" s="2">
        <v>45658</v>
      </c>
      <c r="D111" s="2">
        <v>45747</v>
      </c>
      <c r="E111" s="21">
        <v>0</v>
      </c>
      <c r="F111" s="17"/>
      <c r="G111" s="17">
        <f t="shared" si="57"/>
        <v>171250.00000000003</v>
      </c>
      <c r="H111" s="17">
        <f t="shared" si="58"/>
        <v>154125</v>
      </c>
      <c r="I111" s="124">
        <f t="shared" si="51"/>
        <v>0.8999999999999998</v>
      </c>
      <c r="J111" s="10">
        <v>0</v>
      </c>
      <c r="K111" s="123"/>
      <c r="L111" s="123">
        <f t="shared" si="62"/>
        <v>11999.999999999998</v>
      </c>
      <c r="M111" s="123">
        <f t="shared" si="59"/>
        <v>6750</v>
      </c>
      <c r="N111" s="16">
        <f t="shared" si="60"/>
        <v>0.56250000000000011</v>
      </c>
      <c r="O111" s="14"/>
      <c r="P111" s="3"/>
      <c r="Q111" s="116"/>
      <c r="R111" s="116"/>
      <c r="S111" s="116"/>
      <c r="T111" s="116"/>
      <c r="U111" s="116"/>
      <c r="V111" s="116"/>
    </row>
    <row r="112" spans="1:22" ht="15.5" x14ac:dyDescent="0.35">
      <c r="A112" s="1">
        <v>2025</v>
      </c>
      <c r="B112" s="1">
        <v>2</v>
      </c>
      <c r="C112" s="2">
        <v>45748</v>
      </c>
      <c r="D112" s="2">
        <v>45838</v>
      </c>
      <c r="E112" s="22">
        <v>0</v>
      </c>
      <c r="F112" s="18"/>
      <c r="G112" s="18">
        <f t="shared" si="57"/>
        <v>171250.00000000003</v>
      </c>
      <c r="H112" s="18">
        <f t="shared" si="58"/>
        <v>154125</v>
      </c>
      <c r="I112" s="24">
        <f t="shared" si="51"/>
        <v>0.8999999999999998</v>
      </c>
      <c r="J112" s="11">
        <v>0</v>
      </c>
      <c r="K112" s="4"/>
      <c r="L112" s="4">
        <f t="shared" si="62"/>
        <v>11999.999999999998</v>
      </c>
      <c r="M112" s="4">
        <f t="shared" si="59"/>
        <v>6750</v>
      </c>
      <c r="N112" s="16">
        <f t="shared" si="60"/>
        <v>0.56250000000000011</v>
      </c>
      <c r="O112" s="14"/>
      <c r="P112" s="3"/>
      <c r="Q112" s="116"/>
      <c r="R112" s="116"/>
      <c r="S112" s="116"/>
      <c r="T112" s="116"/>
      <c r="U112" s="116"/>
      <c r="V112" s="116"/>
    </row>
    <row r="113" spans="1:32" ht="15.5" x14ac:dyDescent="0.35">
      <c r="A113" s="1">
        <v>2025</v>
      </c>
      <c r="B113" s="1">
        <v>3</v>
      </c>
      <c r="C113" s="2">
        <v>45839</v>
      </c>
      <c r="D113" s="2">
        <v>45930</v>
      </c>
      <c r="E113" s="22">
        <v>0</v>
      </c>
      <c r="F113" s="18"/>
      <c r="G113" s="18">
        <f t="shared" si="57"/>
        <v>171250.00000000003</v>
      </c>
      <c r="H113" s="18">
        <f t="shared" si="58"/>
        <v>154125</v>
      </c>
      <c r="I113" s="24">
        <f t="shared" si="51"/>
        <v>0.8999999999999998</v>
      </c>
      <c r="J113" s="11">
        <v>0</v>
      </c>
      <c r="K113" s="4"/>
      <c r="L113" s="4">
        <f t="shared" si="62"/>
        <v>11999.999999999998</v>
      </c>
      <c r="M113" s="4">
        <f t="shared" si="59"/>
        <v>6750</v>
      </c>
      <c r="N113" s="16">
        <f t="shared" si="60"/>
        <v>0.56250000000000011</v>
      </c>
      <c r="O113" s="14"/>
      <c r="P113" s="3"/>
      <c r="Q113" s="116"/>
      <c r="R113" s="116"/>
      <c r="S113" s="116"/>
      <c r="T113" s="116"/>
      <c r="U113" s="116"/>
      <c r="V113" s="116"/>
    </row>
    <row r="114" spans="1:32" ht="15.5" x14ac:dyDescent="0.35">
      <c r="A114" s="1">
        <v>2025</v>
      </c>
      <c r="B114" s="1">
        <v>4</v>
      </c>
      <c r="C114" s="2">
        <v>45931</v>
      </c>
      <c r="D114" s="2">
        <v>46022</v>
      </c>
      <c r="E114" s="22">
        <v>0</v>
      </c>
      <c r="F114" s="18"/>
      <c r="G114" s="18">
        <f t="shared" si="57"/>
        <v>171250.00000000003</v>
      </c>
      <c r="H114" s="18">
        <f t="shared" si="58"/>
        <v>154125</v>
      </c>
      <c r="I114" s="24">
        <f t="shared" si="51"/>
        <v>0.8999999999999998</v>
      </c>
      <c r="J114" s="11">
        <v>0</v>
      </c>
      <c r="K114" s="4"/>
      <c r="L114" s="4">
        <f t="shared" si="62"/>
        <v>11999.999999999998</v>
      </c>
      <c r="M114" s="4">
        <f t="shared" si="59"/>
        <v>6750</v>
      </c>
      <c r="N114" s="16">
        <f t="shared" si="60"/>
        <v>0.56250000000000011</v>
      </c>
      <c r="O114" s="14"/>
      <c r="P114" s="3"/>
      <c r="Q114" s="116"/>
      <c r="R114" s="116"/>
      <c r="S114" s="116"/>
      <c r="T114" s="116"/>
      <c r="U114" s="116"/>
      <c r="V114" s="116"/>
    </row>
    <row r="115" spans="1:32" ht="15.5" x14ac:dyDescent="0.35">
      <c r="A115" s="1">
        <v>2026</v>
      </c>
      <c r="B115" s="1">
        <v>1</v>
      </c>
      <c r="C115" s="2">
        <v>46023</v>
      </c>
      <c r="D115" s="2">
        <v>46112</v>
      </c>
      <c r="E115" s="22">
        <v>0</v>
      </c>
      <c r="F115" s="18"/>
      <c r="G115" s="18">
        <f t="shared" si="57"/>
        <v>171250.00000000003</v>
      </c>
      <c r="H115" s="18">
        <f t="shared" si="58"/>
        <v>154125</v>
      </c>
      <c r="I115" s="24">
        <f>H115/G115</f>
        <v>0.8999999999999998</v>
      </c>
      <c r="J115" s="11">
        <v>0</v>
      </c>
      <c r="K115" s="4"/>
      <c r="L115" s="4">
        <f t="shared" si="62"/>
        <v>11999.999999999998</v>
      </c>
      <c r="M115" s="4">
        <f t="shared" si="59"/>
        <v>6750</v>
      </c>
      <c r="N115" s="16">
        <f t="shared" si="60"/>
        <v>0.56250000000000011</v>
      </c>
      <c r="O115" s="14"/>
      <c r="P115" s="3"/>
      <c r="Q115" s="116"/>
      <c r="R115" s="116"/>
      <c r="S115" s="116"/>
      <c r="T115" s="116"/>
      <c r="U115" s="116"/>
      <c r="V115" s="116"/>
    </row>
    <row r="116" spans="1:32" ht="15.5" x14ac:dyDescent="0.35">
      <c r="A116" s="1">
        <v>2026</v>
      </c>
      <c r="B116" s="1">
        <v>2</v>
      </c>
      <c r="C116" s="2">
        <v>46113</v>
      </c>
      <c r="D116" s="2">
        <v>46203</v>
      </c>
      <c r="E116" s="22">
        <v>0</v>
      </c>
      <c r="F116" s="18"/>
      <c r="G116" s="18">
        <f t="shared" si="57"/>
        <v>171250.00000000003</v>
      </c>
      <c r="H116" s="18">
        <f t="shared" si="58"/>
        <v>154125</v>
      </c>
      <c r="I116" s="24">
        <f t="shared" ref="I116:I117" si="63">H116/G116</f>
        <v>0.8999999999999998</v>
      </c>
      <c r="J116" s="11">
        <v>0</v>
      </c>
      <c r="K116" s="4"/>
      <c r="L116" s="4">
        <f t="shared" si="62"/>
        <v>11999.999999999998</v>
      </c>
      <c r="M116" s="4">
        <f t="shared" si="59"/>
        <v>6750</v>
      </c>
      <c r="N116" s="16">
        <f t="shared" si="60"/>
        <v>0.56250000000000011</v>
      </c>
      <c r="O116" s="14"/>
      <c r="P116" s="3"/>
      <c r="Q116" s="116"/>
      <c r="R116" s="116"/>
      <c r="S116" s="116"/>
      <c r="T116" s="116"/>
      <c r="U116" s="116"/>
      <c r="V116" s="116"/>
    </row>
    <row r="117" spans="1:32" ht="15.5" x14ac:dyDescent="0.35">
      <c r="A117" s="1">
        <v>2026</v>
      </c>
      <c r="B117" s="1">
        <v>3</v>
      </c>
      <c r="C117" s="2">
        <v>46204</v>
      </c>
      <c r="D117" s="2">
        <v>46295</v>
      </c>
      <c r="E117" s="22">
        <v>0</v>
      </c>
      <c r="F117" s="18"/>
      <c r="G117" s="18">
        <f t="shared" si="57"/>
        <v>171250.00000000003</v>
      </c>
      <c r="H117" s="18">
        <f>SUM(H116+F117)</f>
        <v>154125</v>
      </c>
      <c r="I117" s="24">
        <f t="shared" si="63"/>
        <v>0.8999999999999998</v>
      </c>
      <c r="J117" s="11">
        <v>0</v>
      </c>
      <c r="K117" s="15"/>
      <c r="L117" s="15">
        <f t="shared" si="62"/>
        <v>11999.999999999998</v>
      </c>
      <c r="M117" s="15">
        <f t="shared" si="59"/>
        <v>6750</v>
      </c>
      <c r="N117" s="16">
        <f t="shared" si="60"/>
        <v>0.56250000000000011</v>
      </c>
      <c r="O117" s="14"/>
      <c r="P117" s="3"/>
      <c r="Q117" s="116"/>
      <c r="R117" s="116"/>
      <c r="S117" s="116"/>
      <c r="T117" s="116"/>
      <c r="U117" s="116"/>
      <c r="V117" s="116"/>
    </row>
    <row r="118" spans="1:32" ht="15" thickBot="1" x14ac:dyDescent="0.4">
      <c r="A118" s="36" t="s">
        <v>12</v>
      </c>
      <c r="B118" s="36"/>
      <c r="C118" s="36"/>
      <c r="D118" s="37"/>
      <c r="E118" s="38">
        <f>154125+17125</f>
        <v>171250</v>
      </c>
      <c r="F118" s="34">
        <f>SUM(F94:F117)</f>
        <v>154125</v>
      </c>
      <c r="G118" s="34">
        <f>G117</f>
        <v>171250.00000000003</v>
      </c>
      <c r="H118" s="35">
        <f>H117</f>
        <v>154125</v>
      </c>
      <c r="I118" s="45">
        <f>H118/G118</f>
        <v>0.8999999999999998</v>
      </c>
      <c r="J118" s="39">
        <v>12000</v>
      </c>
      <c r="K118" s="46">
        <f>SUM(K94:K117)</f>
        <v>6750</v>
      </c>
      <c r="L118" s="40">
        <f>L117</f>
        <v>11999.999999999998</v>
      </c>
      <c r="M118" s="41">
        <f>M117</f>
        <v>6750</v>
      </c>
      <c r="N118" s="42">
        <f>M118/L118</f>
        <v>0.56250000000000011</v>
      </c>
      <c r="O118" s="43">
        <f>SUM(O94:O117)</f>
        <v>2</v>
      </c>
      <c r="P118" s="43">
        <f>SUM(P94:P117)</f>
        <v>2</v>
      </c>
    </row>
    <row r="119" spans="1:32" ht="15" thickTop="1" x14ac:dyDescent="0.35">
      <c r="E119" s="33">
        <f>E118+J118</f>
        <v>183250</v>
      </c>
    </row>
    <row r="120" spans="1:32" x14ac:dyDescent="0.35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</row>
    <row r="121" spans="1:32" x14ac:dyDescent="0.35">
      <c r="A121" s="198" t="s">
        <v>83</v>
      </c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</row>
    <row r="122" spans="1:32" ht="15" thickBot="1" x14ac:dyDescent="0.4">
      <c r="A122" s="202" t="s">
        <v>0</v>
      </c>
      <c r="B122" s="204"/>
      <c r="C122" s="204"/>
      <c r="D122" s="204"/>
      <c r="E122" s="193" t="s">
        <v>19</v>
      </c>
      <c r="F122" s="193"/>
      <c r="G122" s="193"/>
      <c r="H122" s="193"/>
      <c r="I122" s="194"/>
      <c r="J122" s="195" t="s">
        <v>20</v>
      </c>
      <c r="K122" s="196"/>
      <c r="L122" s="196"/>
      <c r="M122" s="196"/>
      <c r="N122" s="197"/>
      <c r="O122" s="12"/>
      <c r="P122" s="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</row>
    <row r="123" spans="1:32" ht="58.5" thickTop="1" x14ac:dyDescent="0.35">
      <c r="A123" s="7" t="s">
        <v>1</v>
      </c>
      <c r="B123" s="7" t="s">
        <v>2</v>
      </c>
      <c r="C123" s="7" t="s">
        <v>3</v>
      </c>
      <c r="D123" s="9" t="s">
        <v>9</v>
      </c>
      <c r="E123" s="19" t="s">
        <v>4</v>
      </c>
      <c r="F123" s="20" t="s">
        <v>6</v>
      </c>
      <c r="G123" s="20" t="s">
        <v>5</v>
      </c>
      <c r="H123" s="20" t="s">
        <v>7</v>
      </c>
      <c r="I123" s="23" t="s">
        <v>8</v>
      </c>
      <c r="J123" s="25" t="s">
        <v>4</v>
      </c>
      <c r="K123" s="26" t="s">
        <v>6</v>
      </c>
      <c r="L123" s="26" t="s">
        <v>5</v>
      </c>
      <c r="M123" s="26" t="s">
        <v>7</v>
      </c>
      <c r="N123" s="27" t="s">
        <v>8</v>
      </c>
      <c r="O123" s="13" t="s">
        <v>10</v>
      </c>
      <c r="P123" s="8" t="s">
        <v>11</v>
      </c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</row>
    <row r="124" spans="1:32" ht="15.5" x14ac:dyDescent="0.35">
      <c r="A124" s="64">
        <v>2020</v>
      </c>
      <c r="B124" s="64">
        <v>4</v>
      </c>
      <c r="C124" s="65">
        <v>44105</v>
      </c>
      <c r="D124" s="65">
        <v>44196</v>
      </c>
      <c r="E124" s="66">
        <v>0</v>
      </c>
      <c r="F124" s="66">
        <v>0</v>
      </c>
      <c r="G124" s="66">
        <v>0</v>
      </c>
      <c r="H124" s="66">
        <v>0</v>
      </c>
      <c r="I124" s="67">
        <v>0</v>
      </c>
      <c r="J124" s="66">
        <v>0</v>
      </c>
      <c r="K124" s="66">
        <v>0</v>
      </c>
      <c r="L124" s="66">
        <v>0</v>
      </c>
      <c r="M124" s="66">
        <v>0</v>
      </c>
      <c r="N124" s="67">
        <v>0</v>
      </c>
      <c r="O124" s="68">
        <v>0</v>
      </c>
      <c r="P124" s="69">
        <v>0</v>
      </c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</row>
    <row r="125" spans="1:32" s="108" customFormat="1" ht="15.5" x14ac:dyDescent="0.35">
      <c r="A125" s="64">
        <v>2021</v>
      </c>
      <c r="B125" s="64">
        <v>1</v>
      </c>
      <c r="C125" s="65">
        <v>44197</v>
      </c>
      <c r="D125" s="65">
        <v>44286</v>
      </c>
      <c r="E125" s="66">
        <v>0</v>
      </c>
      <c r="F125" s="66">
        <v>0</v>
      </c>
      <c r="G125" s="66">
        <v>0</v>
      </c>
      <c r="H125" s="66">
        <v>0</v>
      </c>
      <c r="I125" s="67">
        <v>0</v>
      </c>
      <c r="J125" s="66">
        <v>0</v>
      </c>
      <c r="K125" s="66">
        <v>0</v>
      </c>
      <c r="L125" s="66">
        <v>0</v>
      </c>
      <c r="M125" s="66">
        <v>0</v>
      </c>
      <c r="N125" s="67">
        <v>0</v>
      </c>
      <c r="O125" s="68">
        <v>0</v>
      </c>
      <c r="P125" s="69">
        <v>0</v>
      </c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</row>
    <row r="126" spans="1:32" ht="15.5" x14ac:dyDescent="0.35">
      <c r="A126" s="89">
        <v>2021</v>
      </c>
      <c r="B126" s="89">
        <v>2</v>
      </c>
      <c r="C126" s="90">
        <v>44287</v>
      </c>
      <c r="D126" s="90">
        <v>44377</v>
      </c>
      <c r="E126" s="100">
        <v>0</v>
      </c>
      <c r="F126" s="92">
        <v>0</v>
      </c>
      <c r="G126" s="92">
        <f>E126</f>
        <v>0</v>
      </c>
      <c r="H126" s="92">
        <f>SUM(F126+0)</f>
        <v>0</v>
      </c>
      <c r="I126" s="101">
        <v>0</v>
      </c>
      <c r="J126" s="102">
        <v>0</v>
      </c>
      <c r="K126" s="103">
        <v>0</v>
      </c>
      <c r="L126" s="104">
        <f>J126</f>
        <v>0</v>
      </c>
      <c r="M126" s="103">
        <f>SUM(K126+0)</f>
        <v>0</v>
      </c>
      <c r="N126" s="105">
        <v>0</v>
      </c>
      <c r="O126" s="106">
        <v>0</v>
      </c>
      <c r="P126" s="107">
        <v>0</v>
      </c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</row>
    <row r="127" spans="1:32" ht="15.5" x14ac:dyDescent="0.35">
      <c r="A127" s="64">
        <v>2021</v>
      </c>
      <c r="B127" s="64">
        <v>3</v>
      </c>
      <c r="C127" s="65">
        <v>44378</v>
      </c>
      <c r="D127" s="65">
        <v>44469</v>
      </c>
      <c r="E127" s="72">
        <f>$E$148/13</f>
        <v>12788.461538461539</v>
      </c>
      <c r="F127" s="73">
        <v>0</v>
      </c>
      <c r="G127" s="73">
        <f t="shared" ref="G127:G128" si="64">G126+E127</f>
        <v>12788.461538461539</v>
      </c>
      <c r="H127" s="73">
        <f t="shared" ref="H127:H131" si="65">SUM(H126+F127)</f>
        <v>0</v>
      </c>
      <c r="I127" s="74">
        <v>0</v>
      </c>
      <c r="J127" s="75">
        <f>$J$148/13</f>
        <v>923.07692307692309</v>
      </c>
      <c r="K127" s="76">
        <v>0</v>
      </c>
      <c r="L127" s="76">
        <f>L126+J127</f>
        <v>923.07692307692309</v>
      </c>
      <c r="M127" s="76">
        <f>SUM(M126+K127)</f>
        <v>0</v>
      </c>
      <c r="N127" s="78">
        <v>0</v>
      </c>
      <c r="O127" s="68">
        <v>0</v>
      </c>
      <c r="P127" s="69">
        <v>0</v>
      </c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</row>
    <row r="128" spans="1:32" ht="15.5" x14ac:dyDescent="0.35">
      <c r="A128" s="64">
        <v>2022</v>
      </c>
      <c r="B128" s="64">
        <v>4</v>
      </c>
      <c r="C128" s="65">
        <v>44470</v>
      </c>
      <c r="D128" s="65">
        <v>44561</v>
      </c>
      <c r="E128" s="72">
        <f t="shared" ref="E128:E139" si="66">$E$148/13</f>
        <v>12788.461538461539</v>
      </c>
      <c r="F128" s="73">
        <v>0</v>
      </c>
      <c r="G128" s="73">
        <f t="shared" si="64"/>
        <v>25576.923076923078</v>
      </c>
      <c r="H128" s="73">
        <f t="shared" si="65"/>
        <v>0</v>
      </c>
      <c r="I128" s="74">
        <f t="shared" ref="I128:I144" si="67">H128/G128</f>
        <v>0</v>
      </c>
      <c r="J128" s="75">
        <f t="shared" ref="J128:J139" si="68">$J$148/13</f>
        <v>923.07692307692309</v>
      </c>
      <c r="K128" s="76">
        <v>0</v>
      </c>
      <c r="L128" s="76">
        <f t="shared" ref="L128:L131" si="69">L127+J128</f>
        <v>1846.1538461538462</v>
      </c>
      <c r="M128" s="76">
        <f t="shared" ref="M128:M130" si="70">SUM(M127+K128)</f>
        <v>0</v>
      </c>
      <c r="N128" s="78">
        <f t="shared" ref="N128:N131" si="71">M128/L128</f>
        <v>0</v>
      </c>
      <c r="O128" s="68">
        <v>0</v>
      </c>
      <c r="P128" s="69">
        <v>0</v>
      </c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</row>
    <row r="129" spans="1:32" ht="15.5" x14ac:dyDescent="0.35">
      <c r="A129" s="64">
        <v>2022</v>
      </c>
      <c r="B129" s="64">
        <v>1</v>
      </c>
      <c r="C129" s="65">
        <v>44562</v>
      </c>
      <c r="D129" s="65">
        <v>44651</v>
      </c>
      <c r="E129" s="72">
        <f t="shared" si="66"/>
        <v>12788.461538461539</v>
      </c>
      <c r="F129" s="73">
        <v>0</v>
      </c>
      <c r="G129" s="73">
        <f>G128+E129</f>
        <v>38365.384615384617</v>
      </c>
      <c r="H129" s="73">
        <f t="shared" si="65"/>
        <v>0</v>
      </c>
      <c r="I129" s="74">
        <f t="shared" si="67"/>
        <v>0</v>
      </c>
      <c r="J129" s="75">
        <f t="shared" si="68"/>
        <v>923.07692307692309</v>
      </c>
      <c r="K129" s="76">
        <v>1577</v>
      </c>
      <c r="L129" s="76">
        <f t="shared" si="69"/>
        <v>2769.2307692307695</v>
      </c>
      <c r="M129" s="76">
        <f t="shared" si="70"/>
        <v>1577</v>
      </c>
      <c r="N129" s="78">
        <f t="shared" si="71"/>
        <v>0.56947222222222216</v>
      </c>
      <c r="O129" s="68">
        <v>0</v>
      </c>
      <c r="P129" s="69">
        <v>0</v>
      </c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</row>
    <row r="130" spans="1:32" ht="15.5" x14ac:dyDescent="0.35">
      <c r="A130" s="64">
        <v>2022</v>
      </c>
      <c r="B130" s="64">
        <v>2</v>
      </c>
      <c r="C130" s="65">
        <v>44652</v>
      </c>
      <c r="D130" s="65">
        <v>44742</v>
      </c>
      <c r="E130" s="72">
        <f t="shared" si="66"/>
        <v>12788.461538461539</v>
      </c>
      <c r="F130" s="73">
        <v>0</v>
      </c>
      <c r="G130" s="73">
        <f t="shared" ref="G130:G131" si="72">G129+E130</f>
        <v>51153.846153846156</v>
      </c>
      <c r="H130" s="73">
        <f t="shared" si="65"/>
        <v>0</v>
      </c>
      <c r="I130" s="74">
        <f t="shared" si="67"/>
        <v>0</v>
      </c>
      <c r="J130" s="75">
        <f t="shared" si="68"/>
        <v>923.07692307692309</v>
      </c>
      <c r="K130" s="76">
        <v>0</v>
      </c>
      <c r="L130" s="76">
        <f t="shared" si="69"/>
        <v>3692.3076923076924</v>
      </c>
      <c r="M130" s="76">
        <f t="shared" si="70"/>
        <v>1577</v>
      </c>
      <c r="N130" s="78">
        <f t="shared" si="71"/>
        <v>0.42710416666666667</v>
      </c>
      <c r="O130" s="68">
        <v>0</v>
      </c>
      <c r="P130" s="69">
        <v>0</v>
      </c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</row>
    <row r="131" spans="1:32" ht="15.5" x14ac:dyDescent="0.35">
      <c r="A131" s="64">
        <v>2022</v>
      </c>
      <c r="B131" s="64">
        <v>3</v>
      </c>
      <c r="C131" s="65">
        <v>44743</v>
      </c>
      <c r="D131" s="65">
        <v>44834</v>
      </c>
      <c r="E131" s="72">
        <f t="shared" si="66"/>
        <v>12788.461538461539</v>
      </c>
      <c r="F131" s="73">
        <v>0</v>
      </c>
      <c r="G131" s="73">
        <f t="shared" si="72"/>
        <v>63942.307692307695</v>
      </c>
      <c r="H131" s="73">
        <f t="shared" si="65"/>
        <v>0</v>
      </c>
      <c r="I131" s="74">
        <f t="shared" si="67"/>
        <v>0</v>
      </c>
      <c r="J131" s="75">
        <f t="shared" si="68"/>
        <v>923.07692307692309</v>
      </c>
      <c r="K131" s="76">
        <v>1393</v>
      </c>
      <c r="L131" s="76">
        <f t="shared" si="69"/>
        <v>4615.3846153846152</v>
      </c>
      <c r="M131" s="76">
        <f>SUM(M130+K131)</f>
        <v>2970</v>
      </c>
      <c r="N131" s="78">
        <f t="shared" si="71"/>
        <v>0.64350000000000007</v>
      </c>
      <c r="O131" s="68">
        <v>0</v>
      </c>
      <c r="P131" s="69">
        <v>0</v>
      </c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</row>
    <row r="132" spans="1:32" ht="15.5" x14ac:dyDescent="0.35">
      <c r="A132" s="64">
        <v>2022</v>
      </c>
      <c r="B132" s="64">
        <v>4</v>
      </c>
      <c r="C132" s="65">
        <v>44835</v>
      </c>
      <c r="D132" s="65">
        <v>44926</v>
      </c>
      <c r="E132" s="72">
        <f t="shared" si="66"/>
        <v>12788.461538461539</v>
      </c>
      <c r="F132" s="73">
        <v>712</v>
      </c>
      <c r="G132" s="73">
        <f>G131+E132</f>
        <v>76730.769230769234</v>
      </c>
      <c r="H132" s="73">
        <f>SUM(H131+F132)</f>
        <v>712</v>
      </c>
      <c r="I132" s="74">
        <f t="shared" si="67"/>
        <v>9.2791979949874686E-3</v>
      </c>
      <c r="J132" s="75">
        <f t="shared" si="68"/>
        <v>923.07692307692309</v>
      </c>
      <c r="K132" s="76">
        <v>1000</v>
      </c>
      <c r="L132" s="76">
        <f>L131+J132</f>
        <v>5538.4615384615381</v>
      </c>
      <c r="M132" s="76">
        <f>SUM(M131+K132)</f>
        <v>3970</v>
      </c>
      <c r="N132" s="78">
        <f>M132/L132</f>
        <v>0.71680555555555558</v>
      </c>
      <c r="O132" s="68">
        <v>0</v>
      </c>
      <c r="P132" s="69">
        <v>0</v>
      </c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</row>
    <row r="133" spans="1:32" ht="15.5" x14ac:dyDescent="0.35">
      <c r="A133" s="64">
        <v>2023</v>
      </c>
      <c r="B133" s="64">
        <v>1</v>
      </c>
      <c r="C133" s="65">
        <v>44927</v>
      </c>
      <c r="D133" s="65">
        <v>45016</v>
      </c>
      <c r="E133" s="72">
        <f t="shared" si="66"/>
        <v>12788.461538461539</v>
      </c>
      <c r="F133" s="73">
        <v>0</v>
      </c>
      <c r="G133" s="73">
        <f t="shared" ref="G133:G147" si="73">G132+E133</f>
        <v>89519.23076923078</v>
      </c>
      <c r="H133" s="73">
        <f t="shared" ref="H133:H146" si="74">SUM(H132+F133)</f>
        <v>712</v>
      </c>
      <c r="I133" s="74">
        <f t="shared" si="67"/>
        <v>7.9535982814178292E-3</v>
      </c>
      <c r="J133" s="75">
        <f t="shared" si="68"/>
        <v>923.07692307692309</v>
      </c>
      <c r="K133" s="76">
        <v>0</v>
      </c>
      <c r="L133" s="76">
        <f>L132+J133</f>
        <v>6461.538461538461</v>
      </c>
      <c r="M133" s="76">
        <f t="shared" ref="M133:M147" si="75">SUM(M132+K133)</f>
        <v>3970</v>
      </c>
      <c r="N133" s="78">
        <f t="shared" ref="N133:N147" si="76">M133/L133</f>
        <v>0.61440476190476201</v>
      </c>
      <c r="O133" s="68">
        <v>0</v>
      </c>
      <c r="P133" s="69">
        <v>0</v>
      </c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</row>
    <row r="134" spans="1:32" ht="15.5" x14ac:dyDescent="0.35">
      <c r="A134" s="64">
        <v>2023</v>
      </c>
      <c r="B134" s="64">
        <v>2</v>
      </c>
      <c r="C134" s="65">
        <v>45017</v>
      </c>
      <c r="D134" s="65">
        <v>45107</v>
      </c>
      <c r="E134" s="72">
        <f t="shared" si="66"/>
        <v>12788.461538461539</v>
      </c>
      <c r="F134" s="73">
        <v>0</v>
      </c>
      <c r="G134" s="73">
        <f t="shared" si="73"/>
        <v>102307.69230769231</v>
      </c>
      <c r="H134" s="73">
        <f t="shared" si="74"/>
        <v>712</v>
      </c>
      <c r="I134" s="74">
        <f t="shared" si="67"/>
        <v>6.959398496240601E-3</v>
      </c>
      <c r="J134" s="75">
        <f t="shared" si="68"/>
        <v>923.07692307692309</v>
      </c>
      <c r="K134" s="76">
        <v>0</v>
      </c>
      <c r="L134" s="76">
        <f t="shared" ref="L134" si="77">L133+J134</f>
        <v>7384.6153846153838</v>
      </c>
      <c r="M134" s="76">
        <f t="shared" si="75"/>
        <v>3970</v>
      </c>
      <c r="N134" s="78">
        <f t="shared" si="76"/>
        <v>0.53760416666666677</v>
      </c>
      <c r="O134" s="68">
        <v>0</v>
      </c>
      <c r="P134" s="69">
        <v>0</v>
      </c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</row>
    <row r="135" spans="1:32" ht="15.5" x14ac:dyDescent="0.35">
      <c r="A135" s="64">
        <v>2023</v>
      </c>
      <c r="B135" s="64">
        <v>3</v>
      </c>
      <c r="C135" s="65">
        <v>45108</v>
      </c>
      <c r="D135" s="65">
        <v>45199</v>
      </c>
      <c r="E135" s="72">
        <f t="shared" si="66"/>
        <v>12788.461538461539</v>
      </c>
      <c r="F135" s="73">
        <v>0</v>
      </c>
      <c r="G135" s="73">
        <f t="shared" si="73"/>
        <v>115096.15384615384</v>
      </c>
      <c r="H135" s="73">
        <f t="shared" si="74"/>
        <v>712</v>
      </c>
      <c r="I135" s="74">
        <f t="shared" si="67"/>
        <v>6.1861319966583124E-3</v>
      </c>
      <c r="J135" s="75">
        <f t="shared" si="68"/>
        <v>923.07692307692309</v>
      </c>
      <c r="K135" s="76">
        <v>0</v>
      </c>
      <c r="L135" s="76">
        <f>L134+J135</f>
        <v>8307.6923076923067</v>
      </c>
      <c r="M135" s="76">
        <f t="shared" si="75"/>
        <v>3970</v>
      </c>
      <c r="N135" s="78">
        <f t="shared" si="76"/>
        <v>0.47787037037037045</v>
      </c>
      <c r="O135" s="68">
        <v>0</v>
      </c>
      <c r="P135" s="69">
        <v>0</v>
      </c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</row>
    <row r="136" spans="1:32" ht="15.5" x14ac:dyDescent="0.35">
      <c r="A136" s="64">
        <v>2023</v>
      </c>
      <c r="B136" s="64">
        <v>4</v>
      </c>
      <c r="C136" s="65">
        <v>45200</v>
      </c>
      <c r="D136" s="65">
        <v>45291</v>
      </c>
      <c r="E136" s="72">
        <f t="shared" si="66"/>
        <v>12788.461538461539</v>
      </c>
      <c r="F136" s="73">
        <v>130177.18</v>
      </c>
      <c r="G136" s="73">
        <f t="shared" si="73"/>
        <v>127884.61538461538</v>
      </c>
      <c r="H136" s="73">
        <f t="shared" si="74"/>
        <v>130889.18</v>
      </c>
      <c r="I136" s="74">
        <f t="shared" si="67"/>
        <v>1.0234943398496241</v>
      </c>
      <c r="J136" s="75">
        <f t="shared" si="68"/>
        <v>923.07692307692309</v>
      </c>
      <c r="K136" s="76">
        <v>2646</v>
      </c>
      <c r="L136" s="76">
        <f t="shared" ref="L136:L147" si="78">L135+J136</f>
        <v>9230.7692307692305</v>
      </c>
      <c r="M136" s="76">
        <f t="shared" si="75"/>
        <v>6616</v>
      </c>
      <c r="N136" s="78">
        <f t="shared" si="76"/>
        <v>0.71673333333333333</v>
      </c>
      <c r="O136" s="68">
        <v>0</v>
      </c>
      <c r="P136" s="69">
        <v>0</v>
      </c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</row>
    <row r="137" spans="1:32" ht="15.5" x14ac:dyDescent="0.35">
      <c r="A137" s="64">
        <v>2024</v>
      </c>
      <c r="B137" s="64">
        <v>1</v>
      </c>
      <c r="C137" s="65">
        <v>45292</v>
      </c>
      <c r="D137" s="65">
        <v>45382</v>
      </c>
      <c r="E137" s="72">
        <f t="shared" si="66"/>
        <v>12788.461538461539</v>
      </c>
      <c r="F137" s="73">
        <v>1062.95</v>
      </c>
      <c r="G137" s="73">
        <f t="shared" si="73"/>
        <v>140673.07692307691</v>
      </c>
      <c r="H137" s="73">
        <f t="shared" si="74"/>
        <v>131952.13</v>
      </c>
      <c r="I137" s="74">
        <f t="shared" si="67"/>
        <v>0.93800557211209856</v>
      </c>
      <c r="J137" s="75">
        <f t="shared" si="68"/>
        <v>923.07692307692309</v>
      </c>
      <c r="K137" s="76">
        <v>0</v>
      </c>
      <c r="L137" s="76">
        <f t="shared" si="78"/>
        <v>10153.846153846154</v>
      </c>
      <c r="M137" s="76">
        <f t="shared" si="75"/>
        <v>6616</v>
      </c>
      <c r="N137" s="78">
        <f t="shared" si="76"/>
        <v>0.65157575757575759</v>
      </c>
      <c r="O137" s="68">
        <v>0</v>
      </c>
      <c r="P137" s="69">
        <v>2</v>
      </c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</row>
    <row r="138" spans="1:32" ht="15.5" x14ac:dyDescent="0.35">
      <c r="A138" s="64">
        <v>2024</v>
      </c>
      <c r="B138" s="64">
        <v>2</v>
      </c>
      <c r="C138" s="65">
        <v>45383</v>
      </c>
      <c r="D138" s="65">
        <v>45473</v>
      </c>
      <c r="E138" s="72">
        <f t="shared" si="66"/>
        <v>12788.461538461539</v>
      </c>
      <c r="F138" s="73">
        <f>17672.87</f>
        <v>17672.87</v>
      </c>
      <c r="G138" s="73">
        <f t="shared" si="73"/>
        <v>153461.53846153844</v>
      </c>
      <c r="H138" s="73">
        <f t="shared" si="74"/>
        <v>149625</v>
      </c>
      <c r="I138" s="74">
        <f t="shared" si="67"/>
        <v>0.97500000000000009</v>
      </c>
      <c r="J138" s="75">
        <f t="shared" si="68"/>
        <v>923.07692307692309</v>
      </c>
      <c r="K138" s="76"/>
      <c r="L138" s="76">
        <f t="shared" si="78"/>
        <v>11076.923076923078</v>
      </c>
      <c r="M138" s="76">
        <f t="shared" si="75"/>
        <v>6616</v>
      </c>
      <c r="N138" s="78">
        <f t="shared" si="76"/>
        <v>0.59727777777777769</v>
      </c>
      <c r="O138" s="68">
        <v>0</v>
      </c>
      <c r="P138" s="69">
        <v>0</v>
      </c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</row>
    <row r="139" spans="1:32" ht="15.5" x14ac:dyDescent="0.35">
      <c r="A139" s="64">
        <v>2024</v>
      </c>
      <c r="B139" s="64">
        <v>3</v>
      </c>
      <c r="C139" s="65">
        <v>45474</v>
      </c>
      <c r="D139" s="65">
        <v>45565</v>
      </c>
      <c r="E139" s="72">
        <f t="shared" si="66"/>
        <v>12788.461538461539</v>
      </c>
      <c r="F139" s="73">
        <v>16625</v>
      </c>
      <c r="G139" s="73">
        <f t="shared" si="73"/>
        <v>166249.99999999997</v>
      </c>
      <c r="H139" s="73">
        <f t="shared" si="74"/>
        <v>166250</v>
      </c>
      <c r="I139" s="128">
        <f t="shared" si="67"/>
        <v>1.0000000000000002</v>
      </c>
      <c r="J139" s="75">
        <f t="shared" si="68"/>
        <v>923.07692307692309</v>
      </c>
      <c r="K139" s="77">
        <v>5384</v>
      </c>
      <c r="L139" s="77">
        <f t="shared" si="78"/>
        <v>12000.000000000002</v>
      </c>
      <c r="M139" s="77">
        <f t="shared" si="75"/>
        <v>12000</v>
      </c>
      <c r="N139" s="78">
        <f t="shared" si="76"/>
        <v>0.99999999999999989</v>
      </c>
      <c r="O139" s="131">
        <v>2</v>
      </c>
      <c r="P139" s="130">
        <v>0</v>
      </c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</row>
    <row r="140" spans="1:32" ht="15.5" x14ac:dyDescent="0.35">
      <c r="A140" s="64">
        <v>2024</v>
      </c>
      <c r="B140" s="64">
        <v>4</v>
      </c>
      <c r="C140" s="65">
        <v>45566</v>
      </c>
      <c r="D140" s="65">
        <v>45657</v>
      </c>
      <c r="E140" s="72">
        <v>0</v>
      </c>
      <c r="F140" s="73"/>
      <c r="G140" s="73">
        <f t="shared" si="73"/>
        <v>166249.99999999997</v>
      </c>
      <c r="H140" s="73">
        <f t="shared" si="74"/>
        <v>166250</v>
      </c>
      <c r="I140" s="128">
        <f t="shared" si="67"/>
        <v>1.0000000000000002</v>
      </c>
      <c r="J140" s="75">
        <v>0</v>
      </c>
      <c r="K140" s="77"/>
      <c r="L140" s="77">
        <f t="shared" si="78"/>
        <v>12000.000000000002</v>
      </c>
      <c r="M140" s="77">
        <f t="shared" si="75"/>
        <v>12000</v>
      </c>
      <c r="N140" s="78">
        <f t="shared" si="76"/>
        <v>0.99999999999999989</v>
      </c>
      <c r="O140" s="131"/>
      <c r="P140" s="130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</row>
    <row r="141" spans="1:32" ht="15.5" x14ac:dyDescent="0.35">
      <c r="A141" s="64">
        <v>2025</v>
      </c>
      <c r="B141" s="64">
        <v>1</v>
      </c>
      <c r="C141" s="65">
        <v>45658</v>
      </c>
      <c r="D141" s="65">
        <v>45747</v>
      </c>
      <c r="E141" s="72">
        <v>0</v>
      </c>
      <c r="F141" s="73"/>
      <c r="G141" s="73">
        <f t="shared" si="73"/>
        <v>166249.99999999997</v>
      </c>
      <c r="H141" s="73">
        <f t="shared" si="74"/>
        <v>166250</v>
      </c>
      <c r="I141" s="128">
        <f t="shared" si="67"/>
        <v>1.0000000000000002</v>
      </c>
      <c r="J141" s="75">
        <v>0</v>
      </c>
      <c r="K141" s="77"/>
      <c r="L141" s="77">
        <f t="shared" si="78"/>
        <v>12000.000000000002</v>
      </c>
      <c r="M141" s="77">
        <f t="shared" si="75"/>
        <v>12000</v>
      </c>
      <c r="N141" s="78">
        <f t="shared" si="76"/>
        <v>0.99999999999999989</v>
      </c>
      <c r="O141" s="131"/>
      <c r="P141" s="130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</row>
    <row r="142" spans="1:32" ht="15.5" x14ac:dyDescent="0.35">
      <c r="A142" s="64">
        <v>2025</v>
      </c>
      <c r="B142" s="64">
        <v>2</v>
      </c>
      <c r="C142" s="65">
        <v>45748</v>
      </c>
      <c r="D142" s="65">
        <v>45838</v>
      </c>
      <c r="E142" s="72">
        <v>0</v>
      </c>
      <c r="F142" s="73"/>
      <c r="G142" s="73">
        <f t="shared" si="73"/>
        <v>166249.99999999997</v>
      </c>
      <c r="H142" s="73">
        <f t="shared" si="74"/>
        <v>166250</v>
      </c>
      <c r="I142" s="128">
        <f t="shared" si="67"/>
        <v>1.0000000000000002</v>
      </c>
      <c r="J142" s="75">
        <v>0</v>
      </c>
      <c r="K142" s="77"/>
      <c r="L142" s="77">
        <f t="shared" si="78"/>
        <v>12000.000000000002</v>
      </c>
      <c r="M142" s="77">
        <f t="shared" si="75"/>
        <v>12000</v>
      </c>
      <c r="N142" s="78">
        <f t="shared" si="76"/>
        <v>0.99999999999999989</v>
      </c>
      <c r="O142" s="131"/>
      <c r="P142" s="130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</row>
    <row r="143" spans="1:32" ht="15.5" x14ac:dyDescent="0.35">
      <c r="A143" s="64">
        <v>2025</v>
      </c>
      <c r="B143" s="64">
        <v>3</v>
      </c>
      <c r="C143" s="65">
        <v>45839</v>
      </c>
      <c r="D143" s="65">
        <v>45930</v>
      </c>
      <c r="E143" s="72">
        <v>0</v>
      </c>
      <c r="F143" s="73"/>
      <c r="G143" s="73">
        <f t="shared" si="73"/>
        <v>166249.99999999997</v>
      </c>
      <c r="H143" s="73">
        <f t="shared" si="74"/>
        <v>166250</v>
      </c>
      <c r="I143" s="128">
        <f t="shared" si="67"/>
        <v>1.0000000000000002</v>
      </c>
      <c r="J143" s="75">
        <v>0</v>
      </c>
      <c r="K143" s="77"/>
      <c r="L143" s="77">
        <f t="shared" si="78"/>
        <v>12000.000000000002</v>
      </c>
      <c r="M143" s="77">
        <f t="shared" si="75"/>
        <v>12000</v>
      </c>
      <c r="N143" s="78">
        <f t="shared" si="76"/>
        <v>0.99999999999999989</v>
      </c>
      <c r="O143" s="131"/>
      <c r="P143" s="130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</row>
    <row r="144" spans="1:32" ht="15.5" x14ac:dyDescent="0.35">
      <c r="A144" s="64">
        <v>2025</v>
      </c>
      <c r="B144" s="64">
        <v>4</v>
      </c>
      <c r="C144" s="65">
        <v>45931</v>
      </c>
      <c r="D144" s="65">
        <v>46022</v>
      </c>
      <c r="E144" s="72">
        <v>0</v>
      </c>
      <c r="F144" s="73"/>
      <c r="G144" s="73">
        <f t="shared" si="73"/>
        <v>166249.99999999997</v>
      </c>
      <c r="H144" s="73">
        <f t="shared" si="74"/>
        <v>166250</v>
      </c>
      <c r="I144" s="128">
        <f t="shared" si="67"/>
        <v>1.0000000000000002</v>
      </c>
      <c r="J144" s="75">
        <v>0</v>
      </c>
      <c r="K144" s="77"/>
      <c r="L144" s="77">
        <f t="shared" si="78"/>
        <v>12000.000000000002</v>
      </c>
      <c r="M144" s="77">
        <f t="shared" si="75"/>
        <v>12000</v>
      </c>
      <c r="N144" s="78">
        <f t="shared" si="76"/>
        <v>0.99999999999999989</v>
      </c>
      <c r="O144" s="131"/>
      <c r="P144" s="130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</row>
    <row r="145" spans="1:32" ht="15.5" x14ac:dyDescent="0.35">
      <c r="A145" s="64">
        <v>2026</v>
      </c>
      <c r="B145" s="64">
        <v>1</v>
      </c>
      <c r="C145" s="65">
        <v>46023</v>
      </c>
      <c r="D145" s="65">
        <v>46112</v>
      </c>
      <c r="E145" s="72">
        <v>0</v>
      </c>
      <c r="F145" s="73"/>
      <c r="G145" s="73">
        <f t="shared" si="73"/>
        <v>166249.99999999997</v>
      </c>
      <c r="H145" s="73">
        <f t="shared" si="74"/>
        <v>166250</v>
      </c>
      <c r="I145" s="128">
        <f>H145/G145</f>
        <v>1.0000000000000002</v>
      </c>
      <c r="J145" s="75">
        <v>0</v>
      </c>
      <c r="K145" s="77"/>
      <c r="L145" s="77">
        <f t="shared" si="78"/>
        <v>12000.000000000002</v>
      </c>
      <c r="M145" s="77">
        <f t="shared" si="75"/>
        <v>12000</v>
      </c>
      <c r="N145" s="78">
        <f t="shared" si="76"/>
        <v>0.99999999999999989</v>
      </c>
      <c r="O145" s="131"/>
      <c r="P145" s="130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</row>
    <row r="146" spans="1:32" ht="15.5" x14ac:dyDescent="0.35">
      <c r="A146" s="64">
        <v>2026</v>
      </c>
      <c r="B146" s="64">
        <v>2</v>
      </c>
      <c r="C146" s="65">
        <v>46113</v>
      </c>
      <c r="D146" s="65">
        <v>46203</v>
      </c>
      <c r="E146" s="72">
        <v>0</v>
      </c>
      <c r="F146" s="73"/>
      <c r="G146" s="73">
        <f t="shared" si="73"/>
        <v>166249.99999999997</v>
      </c>
      <c r="H146" s="73">
        <f t="shared" si="74"/>
        <v>166250</v>
      </c>
      <c r="I146" s="128">
        <f t="shared" ref="I146:I147" si="79">H146/G146</f>
        <v>1.0000000000000002</v>
      </c>
      <c r="J146" s="75">
        <v>0</v>
      </c>
      <c r="K146" s="77"/>
      <c r="L146" s="77">
        <f t="shared" si="78"/>
        <v>12000.000000000002</v>
      </c>
      <c r="M146" s="77">
        <f t="shared" si="75"/>
        <v>12000</v>
      </c>
      <c r="N146" s="78">
        <f t="shared" si="76"/>
        <v>0.99999999999999989</v>
      </c>
      <c r="O146" s="131"/>
      <c r="P146" s="130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</row>
    <row r="147" spans="1:32" ht="15.5" x14ac:dyDescent="0.35">
      <c r="A147" s="64">
        <v>2026</v>
      </c>
      <c r="B147" s="64">
        <v>3</v>
      </c>
      <c r="C147" s="65">
        <v>46204</v>
      </c>
      <c r="D147" s="65">
        <v>46295</v>
      </c>
      <c r="E147" s="72">
        <v>0</v>
      </c>
      <c r="F147" s="73"/>
      <c r="G147" s="73">
        <f t="shared" si="73"/>
        <v>166249.99999999997</v>
      </c>
      <c r="H147" s="73">
        <f>SUM(H146+F147)</f>
        <v>166250</v>
      </c>
      <c r="I147" s="128">
        <f t="shared" si="79"/>
        <v>1.0000000000000002</v>
      </c>
      <c r="J147" s="75">
        <v>0</v>
      </c>
      <c r="K147" s="132"/>
      <c r="L147" s="132">
        <f t="shared" si="78"/>
        <v>12000.000000000002</v>
      </c>
      <c r="M147" s="132">
        <f t="shared" si="75"/>
        <v>12000</v>
      </c>
      <c r="N147" s="78">
        <f t="shared" si="76"/>
        <v>0.99999999999999989</v>
      </c>
      <c r="O147" s="131"/>
      <c r="P147" s="130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</row>
    <row r="148" spans="1:32" ht="15" thickBot="1" x14ac:dyDescent="0.4">
      <c r="A148" s="133" t="s">
        <v>12</v>
      </c>
      <c r="B148" s="133"/>
      <c r="C148" s="133"/>
      <c r="D148" s="134"/>
      <c r="E148" s="135">
        <f>149625+16625</f>
        <v>166250</v>
      </c>
      <c r="F148" s="136">
        <f>SUM(F124:F147)</f>
        <v>166250</v>
      </c>
      <c r="G148" s="136">
        <f>G147</f>
        <v>166249.99999999997</v>
      </c>
      <c r="H148" s="137">
        <f>H147</f>
        <v>166250</v>
      </c>
      <c r="I148" s="189">
        <f>H148/G148</f>
        <v>1.0000000000000002</v>
      </c>
      <c r="J148" s="138">
        <v>12000</v>
      </c>
      <c r="K148" s="139">
        <f>SUM(K124:K147)</f>
        <v>12000</v>
      </c>
      <c r="L148" s="140">
        <f>L147</f>
        <v>12000.000000000002</v>
      </c>
      <c r="M148" s="141">
        <f>M147</f>
        <v>12000</v>
      </c>
      <c r="N148" s="142">
        <f>M148/L148</f>
        <v>0.99999999999999989</v>
      </c>
      <c r="O148" s="143">
        <f>SUM(O124:O147)</f>
        <v>2</v>
      </c>
      <c r="P148" s="143">
        <f>SUM(P124:P147)</f>
        <v>2</v>
      </c>
    </row>
    <row r="149" spans="1:32" ht="15" thickTop="1" x14ac:dyDescent="0.35">
      <c r="E149" s="33">
        <f>E148+J148</f>
        <v>178250</v>
      </c>
    </row>
    <row r="150" spans="1:32" x14ac:dyDescent="0.35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</row>
    <row r="151" spans="1:32" x14ac:dyDescent="0.35">
      <c r="A151" s="198" t="s">
        <v>84</v>
      </c>
      <c r="B151" s="198"/>
      <c r="C151" s="198"/>
      <c r="D151" s="198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16"/>
      <c r="R151" s="116"/>
      <c r="S151" s="116"/>
      <c r="T151" s="116"/>
      <c r="U151" s="116"/>
      <c r="V151" s="116"/>
    </row>
    <row r="152" spans="1:32" ht="15" thickBot="1" x14ac:dyDescent="0.4">
      <c r="A152" s="202" t="s">
        <v>0</v>
      </c>
      <c r="B152" s="204"/>
      <c r="C152" s="204"/>
      <c r="D152" s="204"/>
      <c r="E152" s="193" t="s">
        <v>19</v>
      </c>
      <c r="F152" s="193"/>
      <c r="G152" s="193"/>
      <c r="H152" s="193"/>
      <c r="I152" s="194"/>
      <c r="J152" s="195" t="s">
        <v>20</v>
      </c>
      <c r="K152" s="196"/>
      <c r="L152" s="196"/>
      <c r="M152" s="196"/>
      <c r="N152" s="197"/>
      <c r="O152" s="12"/>
      <c r="P152" s="6"/>
      <c r="Q152" s="116"/>
      <c r="R152" s="116"/>
      <c r="S152" s="116"/>
      <c r="T152" s="116"/>
      <c r="U152" s="116"/>
      <c r="V152" s="116"/>
    </row>
    <row r="153" spans="1:32" ht="58.5" thickTop="1" x14ac:dyDescent="0.35">
      <c r="A153" s="7" t="s">
        <v>1</v>
      </c>
      <c r="B153" s="7" t="s">
        <v>2</v>
      </c>
      <c r="C153" s="7" t="s">
        <v>3</v>
      </c>
      <c r="D153" s="9" t="s">
        <v>9</v>
      </c>
      <c r="E153" s="19" t="s">
        <v>4</v>
      </c>
      <c r="F153" s="20" t="s">
        <v>6</v>
      </c>
      <c r="G153" s="20" t="s">
        <v>5</v>
      </c>
      <c r="H153" s="20" t="s">
        <v>7</v>
      </c>
      <c r="I153" s="23" t="s">
        <v>8</v>
      </c>
      <c r="J153" s="25" t="s">
        <v>4</v>
      </c>
      <c r="K153" s="26" t="s">
        <v>6</v>
      </c>
      <c r="L153" s="26" t="s">
        <v>5</v>
      </c>
      <c r="M153" s="26" t="s">
        <v>7</v>
      </c>
      <c r="N153" s="27" t="s">
        <v>8</v>
      </c>
      <c r="O153" s="13" t="s">
        <v>10</v>
      </c>
      <c r="P153" s="8" t="s">
        <v>11</v>
      </c>
      <c r="Q153" s="116"/>
      <c r="R153" s="116"/>
      <c r="S153" s="116"/>
      <c r="T153" s="116"/>
      <c r="U153" s="116"/>
      <c r="V153" s="116"/>
    </row>
    <row r="154" spans="1:32" ht="15.5" x14ac:dyDescent="0.35">
      <c r="A154" s="64">
        <v>2020</v>
      </c>
      <c r="B154" s="64">
        <v>4</v>
      </c>
      <c r="C154" s="65">
        <v>44105</v>
      </c>
      <c r="D154" s="65">
        <v>44196</v>
      </c>
      <c r="E154" s="66">
        <v>0</v>
      </c>
      <c r="F154" s="66">
        <v>0</v>
      </c>
      <c r="G154" s="66">
        <v>0</v>
      </c>
      <c r="H154" s="66">
        <v>0</v>
      </c>
      <c r="I154" s="67">
        <v>0</v>
      </c>
      <c r="J154" s="66">
        <v>0</v>
      </c>
      <c r="K154" s="66">
        <v>0</v>
      </c>
      <c r="L154" s="66">
        <v>0</v>
      </c>
      <c r="M154" s="66">
        <v>0</v>
      </c>
      <c r="N154" s="67">
        <v>0</v>
      </c>
      <c r="O154" s="68">
        <v>0</v>
      </c>
      <c r="P154" s="69">
        <v>0</v>
      </c>
      <c r="Q154" s="116"/>
      <c r="R154" s="116"/>
      <c r="S154" s="116"/>
      <c r="T154" s="116"/>
      <c r="U154" s="116"/>
      <c r="V154" s="116"/>
    </row>
    <row r="155" spans="1:32" s="108" customFormat="1" ht="15.5" x14ac:dyDescent="0.35">
      <c r="A155" s="64">
        <v>2021</v>
      </c>
      <c r="B155" s="64">
        <v>1</v>
      </c>
      <c r="C155" s="65">
        <v>44197</v>
      </c>
      <c r="D155" s="65">
        <v>44286</v>
      </c>
      <c r="E155" s="66">
        <v>0</v>
      </c>
      <c r="F155" s="66">
        <v>0</v>
      </c>
      <c r="G155" s="66">
        <v>0</v>
      </c>
      <c r="H155" s="66">
        <v>0</v>
      </c>
      <c r="I155" s="67">
        <v>0</v>
      </c>
      <c r="J155" s="66">
        <v>0</v>
      </c>
      <c r="K155" s="66">
        <v>0</v>
      </c>
      <c r="L155" s="66">
        <v>0</v>
      </c>
      <c r="M155" s="66">
        <v>0</v>
      </c>
      <c r="N155" s="67">
        <v>0</v>
      </c>
      <c r="O155" s="68">
        <v>0</v>
      </c>
      <c r="P155" s="69">
        <v>0</v>
      </c>
      <c r="Q155" s="116"/>
      <c r="R155" s="116"/>
      <c r="S155" s="116"/>
      <c r="T155" s="116"/>
      <c r="U155" s="116"/>
      <c r="V155" s="116"/>
    </row>
    <row r="156" spans="1:32" ht="15.5" x14ac:dyDescent="0.35">
      <c r="A156" s="89">
        <v>2021</v>
      </c>
      <c r="B156" s="89">
        <v>2</v>
      </c>
      <c r="C156" s="90">
        <v>44287</v>
      </c>
      <c r="D156" s="90">
        <v>44377</v>
      </c>
      <c r="E156" s="100">
        <v>0</v>
      </c>
      <c r="F156" s="92">
        <v>0</v>
      </c>
      <c r="G156" s="92">
        <f>E156</f>
        <v>0</v>
      </c>
      <c r="H156" s="92">
        <f>SUM(F156+0)</f>
        <v>0</v>
      </c>
      <c r="I156" s="101">
        <v>0</v>
      </c>
      <c r="J156" s="102">
        <v>0</v>
      </c>
      <c r="K156" s="103">
        <v>0</v>
      </c>
      <c r="L156" s="104">
        <f>J156</f>
        <v>0</v>
      </c>
      <c r="M156" s="103">
        <f>SUM(K156+0)</f>
        <v>0</v>
      </c>
      <c r="N156" s="105">
        <v>0</v>
      </c>
      <c r="O156" s="106">
        <v>0</v>
      </c>
      <c r="P156" s="107">
        <v>0</v>
      </c>
      <c r="Q156" s="116"/>
      <c r="R156" s="116"/>
      <c r="S156" s="116"/>
      <c r="T156" s="116"/>
      <c r="U156" s="116"/>
      <c r="V156" s="116"/>
    </row>
    <row r="157" spans="1:32" ht="15.5" x14ac:dyDescent="0.35">
      <c r="A157" s="64">
        <v>2021</v>
      </c>
      <c r="B157" s="64">
        <v>3</v>
      </c>
      <c r="C157" s="65">
        <v>44378</v>
      </c>
      <c r="D157" s="65">
        <v>44469</v>
      </c>
      <c r="E157" s="72">
        <f>$E$178/12</f>
        <v>8020.833333333333</v>
      </c>
      <c r="F157" s="73"/>
      <c r="G157" s="73">
        <f t="shared" ref="G157:G158" si="80">G156+E157</f>
        <v>8020.833333333333</v>
      </c>
      <c r="H157" s="73">
        <f t="shared" ref="H157:H161" si="81">SUM(H156+F157)</f>
        <v>0</v>
      </c>
      <c r="I157" s="74">
        <v>0</v>
      </c>
      <c r="J157" s="75">
        <f>$J$178/12</f>
        <v>500</v>
      </c>
      <c r="K157" s="76">
        <v>0</v>
      </c>
      <c r="L157" s="76">
        <f>L156+J157</f>
        <v>500</v>
      </c>
      <c r="M157" s="76">
        <f>SUM(M156+K157)</f>
        <v>0</v>
      </c>
      <c r="N157" s="78">
        <v>0</v>
      </c>
      <c r="O157" s="68">
        <v>0</v>
      </c>
      <c r="P157" s="69">
        <v>0</v>
      </c>
      <c r="Q157" s="116"/>
      <c r="R157" s="116"/>
      <c r="S157" s="116"/>
      <c r="T157" s="116"/>
      <c r="U157" s="116"/>
      <c r="V157" s="116"/>
    </row>
    <row r="158" spans="1:32" ht="15.5" x14ac:dyDescent="0.35">
      <c r="A158" s="64">
        <v>2022</v>
      </c>
      <c r="B158" s="64">
        <v>4</v>
      </c>
      <c r="C158" s="65">
        <v>44470</v>
      </c>
      <c r="D158" s="90">
        <v>44561</v>
      </c>
      <c r="E158" s="72">
        <f t="shared" ref="E158:E168" si="82">$E$178/12</f>
        <v>8020.833333333333</v>
      </c>
      <c r="F158" s="92">
        <v>0</v>
      </c>
      <c r="G158" s="92">
        <f t="shared" si="80"/>
        <v>16041.666666666666</v>
      </c>
      <c r="H158" s="92">
        <f t="shared" si="81"/>
        <v>0</v>
      </c>
      <c r="I158" s="101">
        <f t="shared" ref="I158:I174" si="83">H158/G158</f>
        <v>0</v>
      </c>
      <c r="J158" s="75">
        <f t="shared" ref="J158:J168" si="84">$J$178/12</f>
        <v>500</v>
      </c>
      <c r="K158" s="103">
        <v>0</v>
      </c>
      <c r="L158" s="103">
        <f t="shared" ref="L158:L161" si="85">L157+J158</f>
        <v>1000</v>
      </c>
      <c r="M158" s="103">
        <f t="shared" ref="M158:M160" si="86">SUM(M157+K158)</f>
        <v>0</v>
      </c>
      <c r="N158" s="105">
        <f t="shared" ref="N158:N161" si="87">M158/L158</f>
        <v>0</v>
      </c>
      <c r="O158" s="106">
        <v>0</v>
      </c>
      <c r="P158" s="107">
        <v>0</v>
      </c>
      <c r="Q158" s="116"/>
      <c r="R158" s="116"/>
      <c r="S158" s="116"/>
      <c r="T158" s="116"/>
      <c r="U158" s="116"/>
      <c r="V158" s="116"/>
    </row>
    <row r="159" spans="1:32" ht="15.5" x14ac:dyDescent="0.35">
      <c r="A159" s="64">
        <v>2022</v>
      </c>
      <c r="B159" s="64">
        <v>1</v>
      </c>
      <c r="C159" s="65">
        <v>44562</v>
      </c>
      <c r="D159" s="90">
        <v>44651</v>
      </c>
      <c r="E159" s="72">
        <f t="shared" si="82"/>
        <v>8020.833333333333</v>
      </c>
      <c r="F159" s="92">
        <v>0</v>
      </c>
      <c r="G159" s="92">
        <f>G158+E159</f>
        <v>24062.5</v>
      </c>
      <c r="H159" s="92">
        <f t="shared" si="81"/>
        <v>0</v>
      </c>
      <c r="I159" s="101">
        <f t="shared" si="83"/>
        <v>0</v>
      </c>
      <c r="J159" s="75">
        <f t="shared" si="84"/>
        <v>500</v>
      </c>
      <c r="K159" s="103">
        <v>1687</v>
      </c>
      <c r="L159" s="103">
        <f t="shared" si="85"/>
        <v>1500</v>
      </c>
      <c r="M159" s="103">
        <f t="shared" si="86"/>
        <v>1687</v>
      </c>
      <c r="N159" s="105">
        <f t="shared" si="87"/>
        <v>1.1246666666666667</v>
      </c>
      <c r="O159" s="106">
        <v>0</v>
      </c>
      <c r="P159" s="107">
        <v>0</v>
      </c>
      <c r="Q159" s="116"/>
      <c r="R159" s="116"/>
      <c r="S159" s="116"/>
      <c r="T159" s="116"/>
      <c r="U159" s="116"/>
      <c r="V159" s="116"/>
    </row>
    <row r="160" spans="1:32" ht="15.5" x14ac:dyDescent="0.35">
      <c r="A160" s="64">
        <v>2022</v>
      </c>
      <c r="B160" s="64">
        <v>2</v>
      </c>
      <c r="C160" s="65">
        <v>44652</v>
      </c>
      <c r="D160" s="90">
        <v>44742</v>
      </c>
      <c r="E160" s="72">
        <f t="shared" si="82"/>
        <v>8020.833333333333</v>
      </c>
      <c r="F160" s="92">
        <v>0</v>
      </c>
      <c r="G160" s="92">
        <f t="shared" ref="G160:G161" si="88">G159+E160</f>
        <v>32083.333333333332</v>
      </c>
      <c r="H160" s="92">
        <f t="shared" si="81"/>
        <v>0</v>
      </c>
      <c r="I160" s="101">
        <f t="shared" si="83"/>
        <v>0</v>
      </c>
      <c r="J160" s="75">
        <f t="shared" si="84"/>
        <v>500</v>
      </c>
      <c r="K160" s="103">
        <v>0</v>
      </c>
      <c r="L160" s="103">
        <f t="shared" si="85"/>
        <v>2000</v>
      </c>
      <c r="M160" s="103">
        <f t="shared" si="86"/>
        <v>1687</v>
      </c>
      <c r="N160" s="105">
        <f t="shared" si="87"/>
        <v>0.84350000000000003</v>
      </c>
      <c r="O160" s="106">
        <v>0</v>
      </c>
      <c r="P160" s="107">
        <v>0</v>
      </c>
      <c r="Q160" s="116"/>
      <c r="R160" s="116"/>
      <c r="S160" s="116"/>
      <c r="T160" s="116"/>
      <c r="U160" s="116"/>
      <c r="V160" s="116"/>
    </row>
    <row r="161" spans="1:22" ht="15.5" x14ac:dyDescent="0.35">
      <c r="A161" s="64">
        <v>2022</v>
      </c>
      <c r="B161" s="64">
        <v>3</v>
      </c>
      <c r="C161" s="65">
        <v>44743</v>
      </c>
      <c r="D161" s="90">
        <v>44834</v>
      </c>
      <c r="E161" s="72">
        <f t="shared" si="82"/>
        <v>8020.833333333333</v>
      </c>
      <c r="F161" s="92">
        <v>0</v>
      </c>
      <c r="G161" s="92">
        <f t="shared" si="88"/>
        <v>40104.166666666664</v>
      </c>
      <c r="H161" s="92">
        <f t="shared" si="81"/>
        <v>0</v>
      </c>
      <c r="I161" s="101">
        <f t="shared" si="83"/>
        <v>0</v>
      </c>
      <c r="J161" s="75">
        <f t="shared" si="84"/>
        <v>500</v>
      </c>
      <c r="K161" s="103">
        <v>1132</v>
      </c>
      <c r="L161" s="103">
        <f t="shared" si="85"/>
        <v>2500</v>
      </c>
      <c r="M161" s="103">
        <f>SUM(M160+K161)</f>
        <v>2819</v>
      </c>
      <c r="N161" s="105">
        <f t="shared" si="87"/>
        <v>1.1275999999999999</v>
      </c>
      <c r="O161" s="106">
        <v>0</v>
      </c>
      <c r="P161" s="107">
        <v>0</v>
      </c>
      <c r="Q161" s="116"/>
      <c r="R161" s="116"/>
      <c r="S161" s="116"/>
      <c r="T161" s="116"/>
      <c r="U161" s="116"/>
      <c r="V161" s="116"/>
    </row>
    <row r="162" spans="1:22" ht="15.5" x14ac:dyDescent="0.35">
      <c r="A162" s="64">
        <v>2022</v>
      </c>
      <c r="B162" s="64">
        <v>4</v>
      </c>
      <c r="C162" s="65">
        <v>44835</v>
      </c>
      <c r="D162" s="90">
        <v>44926</v>
      </c>
      <c r="E162" s="72">
        <f t="shared" si="82"/>
        <v>8020.833333333333</v>
      </c>
      <c r="F162" s="92">
        <v>348</v>
      </c>
      <c r="G162" s="92">
        <f>G161+E162</f>
        <v>48125</v>
      </c>
      <c r="H162" s="92">
        <f>SUM(H161+F162)</f>
        <v>348</v>
      </c>
      <c r="I162" s="101">
        <f t="shared" si="83"/>
        <v>7.2311688311688313E-3</v>
      </c>
      <c r="J162" s="75">
        <f t="shared" si="84"/>
        <v>500</v>
      </c>
      <c r="K162" s="103">
        <v>1286</v>
      </c>
      <c r="L162" s="103">
        <f>L161+J162</f>
        <v>3000</v>
      </c>
      <c r="M162" s="103">
        <f>SUM(M161+K162)</f>
        <v>4105</v>
      </c>
      <c r="N162" s="105">
        <f>M162/L162</f>
        <v>1.3683333333333334</v>
      </c>
      <c r="O162" s="106">
        <v>0</v>
      </c>
      <c r="P162" s="107">
        <v>0</v>
      </c>
      <c r="Q162" s="116"/>
      <c r="R162" s="116"/>
      <c r="S162" s="116"/>
      <c r="T162" s="116"/>
      <c r="U162" s="116"/>
      <c r="V162" s="116"/>
    </row>
    <row r="163" spans="1:22" ht="15.5" x14ac:dyDescent="0.35">
      <c r="A163" s="64">
        <v>2023</v>
      </c>
      <c r="B163" s="64">
        <v>1</v>
      </c>
      <c r="C163" s="65">
        <v>44927</v>
      </c>
      <c r="D163" s="90">
        <v>45016</v>
      </c>
      <c r="E163" s="72">
        <f t="shared" si="82"/>
        <v>8020.833333333333</v>
      </c>
      <c r="F163" s="92">
        <v>0</v>
      </c>
      <c r="G163" s="92">
        <f t="shared" ref="G163:G177" si="89">G162+E163</f>
        <v>56145.833333333336</v>
      </c>
      <c r="H163" s="92">
        <f t="shared" ref="H163:H176" si="90">SUM(H162+F163)</f>
        <v>348</v>
      </c>
      <c r="I163" s="101">
        <f t="shared" si="83"/>
        <v>6.1981447124304263E-3</v>
      </c>
      <c r="J163" s="75">
        <f t="shared" si="84"/>
        <v>500</v>
      </c>
      <c r="K163" s="103">
        <v>0</v>
      </c>
      <c r="L163" s="103">
        <f>L162+J163</f>
        <v>3500</v>
      </c>
      <c r="M163" s="103">
        <f t="shared" ref="M163:M177" si="91">SUM(M162+K163)</f>
        <v>4105</v>
      </c>
      <c r="N163" s="105">
        <f t="shared" ref="N163:N177" si="92">M163/L163</f>
        <v>1.1728571428571428</v>
      </c>
      <c r="O163" s="106">
        <v>0</v>
      </c>
      <c r="P163" s="107">
        <v>0</v>
      </c>
      <c r="Q163" s="116"/>
      <c r="R163" s="116"/>
      <c r="S163" s="116"/>
      <c r="T163" s="116"/>
      <c r="U163" s="116"/>
      <c r="V163" s="116"/>
    </row>
    <row r="164" spans="1:22" ht="15.5" x14ac:dyDescent="0.35">
      <c r="A164" s="64">
        <v>2023</v>
      </c>
      <c r="B164" s="64">
        <v>2</v>
      </c>
      <c r="C164" s="65">
        <v>45017</v>
      </c>
      <c r="D164" s="90">
        <v>45107</v>
      </c>
      <c r="E164" s="72">
        <f t="shared" si="82"/>
        <v>8020.833333333333</v>
      </c>
      <c r="F164" s="92">
        <v>0</v>
      </c>
      <c r="G164" s="92">
        <f t="shared" si="89"/>
        <v>64166.666666666672</v>
      </c>
      <c r="H164" s="92">
        <f t="shared" si="90"/>
        <v>348</v>
      </c>
      <c r="I164" s="101">
        <f t="shared" si="83"/>
        <v>5.4233766233766226E-3</v>
      </c>
      <c r="J164" s="75">
        <f t="shared" si="84"/>
        <v>500</v>
      </c>
      <c r="K164" s="103">
        <v>0</v>
      </c>
      <c r="L164" s="103">
        <f t="shared" ref="L164" si="93">L163+J164</f>
        <v>4000</v>
      </c>
      <c r="M164" s="103">
        <f t="shared" si="91"/>
        <v>4105</v>
      </c>
      <c r="N164" s="105">
        <f t="shared" si="92"/>
        <v>1.0262500000000001</v>
      </c>
      <c r="O164" s="106">
        <v>0</v>
      </c>
      <c r="P164" s="107">
        <v>0</v>
      </c>
      <c r="Q164" s="116"/>
      <c r="R164" s="116"/>
      <c r="S164" s="116"/>
      <c r="T164" s="116"/>
      <c r="U164" s="116"/>
      <c r="V164" s="116"/>
    </row>
    <row r="165" spans="1:22" ht="15.5" x14ac:dyDescent="0.35">
      <c r="A165" s="64">
        <v>2023</v>
      </c>
      <c r="B165" s="64">
        <v>3</v>
      </c>
      <c r="C165" s="65">
        <v>45108</v>
      </c>
      <c r="D165" s="90">
        <v>45199</v>
      </c>
      <c r="E165" s="72">
        <f t="shared" si="82"/>
        <v>8020.833333333333</v>
      </c>
      <c r="F165" s="92">
        <v>4994.54</v>
      </c>
      <c r="G165" s="92">
        <f t="shared" si="89"/>
        <v>72187.5</v>
      </c>
      <c r="H165" s="92">
        <f t="shared" si="90"/>
        <v>5342.54</v>
      </c>
      <c r="I165" s="101">
        <f t="shared" si="83"/>
        <v>7.4009212121212115E-2</v>
      </c>
      <c r="J165" s="75">
        <f t="shared" si="84"/>
        <v>500</v>
      </c>
      <c r="K165" s="103">
        <v>496</v>
      </c>
      <c r="L165" s="103">
        <f>L164+J165</f>
        <v>4500</v>
      </c>
      <c r="M165" s="103">
        <f t="shared" si="91"/>
        <v>4601</v>
      </c>
      <c r="N165" s="105">
        <f t="shared" si="92"/>
        <v>1.0224444444444445</v>
      </c>
      <c r="O165" s="106">
        <v>0</v>
      </c>
      <c r="P165" s="107">
        <v>0</v>
      </c>
      <c r="Q165" s="116"/>
      <c r="R165" s="116"/>
      <c r="S165" s="116"/>
      <c r="T165" s="116"/>
      <c r="U165" s="116"/>
      <c r="V165" s="116"/>
    </row>
    <row r="166" spans="1:22" ht="15.5" x14ac:dyDescent="0.35">
      <c r="A166" s="64">
        <v>2023</v>
      </c>
      <c r="B166" s="64">
        <v>4</v>
      </c>
      <c r="C166" s="65">
        <v>45200</v>
      </c>
      <c r="D166" s="65">
        <v>45291</v>
      </c>
      <c r="E166" s="72">
        <f t="shared" si="82"/>
        <v>8020.833333333333</v>
      </c>
      <c r="F166" s="73">
        <v>74235.37</v>
      </c>
      <c r="G166" s="73">
        <f t="shared" si="89"/>
        <v>80208.333333333328</v>
      </c>
      <c r="H166" s="73">
        <f>SUM(H165+F166)</f>
        <v>79577.909999999989</v>
      </c>
      <c r="I166" s="74">
        <f t="shared" si="83"/>
        <v>0.9921401766233765</v>
      </c>
      <c r="J166" s="75">
        <f t="shared" si="84"/>
        <v>500</v>
      </c>
      <c r="K166" s="76">
        <v>186</v>
      </c>
      <c r="L166" s="76">
        <f t="shared" ref="L166:L177" si="94">L165+J166</f>
        <v>5000</v>
      </c>
      <c r="M166" s="76">
        <f t="shared" si="91"/>
        <v>4787</v>
      </c>
      <c r="N166" s="78">
        <f t="shared" si="92"/>
        <v>0.95740000000000003</v>
      </c>
      <c r="O166" s="68">
        <v>0</v>
      </c>
      <c r="P166" s="69">
        <v>0</v>
      </c>
      <c r="Q166" s="116"/>
      <c r="R166" s="116"/>
      <c r="S166" s="116"/>
      <c r="T166" s="116"/>
      <c r="U166" s="116"/>
      <c r="V166" s="116"/>
    </row>
    <row r="167" spans="1:22" ht="15.5" x14ac:dyDescent="0.35">
      <c r="A167" s="64">
        <v>2024</v>
      </c>
      <c r="B167" s="64">
        <v>1</v>
      </c>
      <c r="C167" s="65">
        <v>45292</v>
      </c>
      <c r="D167" s="65">
        <v>45382</v>
      </c>
      <c r="E167" s="72">
        <f t="shared" si="82"/>
        <v>8020.833333333333</v>
      </c>
      <c r="F167" s="73">
        <v>7047.9</v>
      </c>
      <c r="G167" s="73">
        <f t="shared" si="89"/>
        <v>88229.166666666657</v>
      </c>
      <c r="H167" s="73">
        <f>SUM(H166+F167)</f>
        <v>86625.809999999983</v>
      </c>
      <c r="I167" s="74">
        <f t="shared" si="83"/>
        <v>0.98182736245572599</v>
      </c>
      <c r="J167" s="75">
        <f t="shared" si="84"/>
        <v>500</v>
      </c>
      <c r="K167" s="76">
        <v>1213</v>
      </c>
      <c r="L167" s="76">
        <f t="shared" si="94"/>
        <v>5500</v>
      </c>
      <c r="M167" s="76">
        <f t="shared" si="91"/>
        <v>6000</v>
      </c>
      <c r="N167" s="78">
        <f t="shared" si="92"/>
        <v>1.0909090909090908</v>
      </c>
      <c r="O167" s="68">
        <v>0</v>
      </c>
      <c r="P167" s="69">
        <v>1</v>
      </c>
      <c r="Q167" s="116"/>
      <c r="R167" s="116"/>
      <c r="S167" s="116"/>
      <c r="T167" s="116"/>
      <c r="U167" s="116"/>
      <c r="V167" s="116"/>
    </row>
    <row r="168" spans="1:22" ht="15.5" x14ac:dyDescent="0.35">
      <c r="A168" s="64">
        <v>2024</v>
      </c>
      <c r="B168" s="64">
        <v>2</v>
      </c>
      <c r="C168" s="65">
        <v>45383</v>
      </c>
      <c r="D168" s="65">
        <v>45473</v>
      </c>
      <c r="E168" s="72">
        <f t="shared" si="82"/>
        <v>8020.833333333333</v>
      </c>
      <c r="F168" s="73">
        <v>9625</v>
      </c>
      <c r="G168" s="73">
        <f t="shared" si="89"/>
        <v>96249.999999999985</v>
      </c>
      <c r="H168" s="73">
        <f t="shared" si="90"/>
        <v>96250.809999999983</v>
      </c>
      <c r="I168" s="74">
        <f t="shared" si="83"/>
        <v>1.0000084155844156</v>
      </c>
      <c r="J168" s="75">
        <f t="shared" si="84"/>
        <v>500</v>
      </c>
      <c r="K168" s="76">
        <v>0</v>
      </c>
      <c r="L168" s="76">
        <f t="shared" si="94"/>
        <v>6000</v>
      </c>
      <c r="M168" s="76">
        <f t="shared" si="91"/>
        <v>6000</v>
      </c>
      <c r="N168" s="78">
        <f t="shared" si="92"/>
        <v>1</v>
      </c>
      <c r="O168" s="68">
        <v>1</v>
      </c>
      <c r="P168" s="69">
        <v>0</v>
      </c>
      <c r="Q168" s="116"/>
      <c r="R168" s="116"/>
      <c r="S168" s="116"/>
      <c r="T168" s="116"/>
      <c r="U168" s="116"/>
      <c r="V168" s="116"/>
    </row>
    <row r="169" spans="1:22" ht="15.5" x14ac:dyDescent="0.35">
      <c r="A169" s="64">
        <v>2024</v>
      </c>
      <c r="B169" s="64">
        <v>3</v>
      </c>
      <c r="C169" s="65">
        <v>45474</v>
      </c>
      <c r="D169" s="65">
        <v>45565</v>
      </c>
      <c r="E169" s="72">
        <v>0</v>
      </c>
      <c r="F169" s="73"/>
      <c r="G169" s="73">
        <f t="shared" si="89"/>
        <v>96249.999999999985</v>
      </c>
      <c r="H169" s="73">
        <f t="shared" si="90"/>
        <v>96250.809999999983</v>
      </c>
      <c r="I169" s="128">
        <f t="shared" si="83"/>
        <v>1.0000084155844156</v>
      </c>
      <c r="J169" s="75">
        <v>0</v>
      </c>
      <c r="K169" s="77"/>
      <c r="L169" s="77">
        <f t="shared" si="94"/>
        <v>6000</v>
      </c>
      <c r="M169" s="77">
        <f t="shared" si="91"/>
        <v>6000</v>
      </c>
      <c r="N169" s="78">
        <f t="shared" si="92"/>
        <v>1</v>
      </c>
      <c r="O169" s="131"/>
      <c r="P169" s="130"/>
      <c r="Q169" s="116"/>
      <c r="R169" s="116"/>
      <c r="S169" s="116"/>
      <c r="T169" s="116"/>
      <c r="U169" s="116"/>
      <c r="V169" s="116"/>
    </row>
    <row r="170" spans="1:22" ht="15.5" x14ac:dyDescent="0.35">
      <c r="A170" s="64">
        <v>2024</v>
      </c>
      <c r="B170" s="64">
        <v>4</v>
      </c>
      <c r="C170" s="65">
        <v>45566</v>
      </c>
      <c r="D170" s="65">
        <v>45657</v>
      </c>
      <c r="E170" s="72">
        <v>0</v>
      </c>
      <c r="F170" s="73"/>
      <c r="G170" s="73">
        <f t="shared" si="89"/>
        <v>96249.999999999985</v>
      </c>
      <c r="H170" s="73">
        <f t="shared" si="90"/>
        <v>96250.809999999983</v>
      </c>
      <c r="I170" s="128">
        <f t="shared" si="83"/>
        <v>1.0000084155844156</v>
      </c>
      <c r="J170" s="75">
        <v>0</v>
      </c>
      <c r="K170" s="77"/>
      <c r="L170" s="77">
        <f t="shared" si="94"/>
        <v>6000</v>
      </c>
      <c r="M170" s="77">
        <f t="shared" si="91"/>
        <v>6000</v>
      </c>
      <c r="N170" s="78">
        <f t="shared" si="92"/>
        <v>1</v>
      </c>
      <c r="O170" s="131"/>
      <c r="P170" s="130"/>
      <c r="Q170" s="116"/>
      <c r="R170" s="116"/>
      <c r="S170" s="116"/>
      <c r="T170" s="116"/>
      <c r="U170" s="116"/>
      <c r="V170" s="116"/>
    </row>
    <row r="171" spans="1:22" ht="15.5" x14ac:dyDescent="0.35">
      <c r="A171" s="64">
        <v>2025</v>
      </c>
      <c r="B171" s="64">
        <v>1</v>
      </c>
      <c r="C171" s="65">
        <v>45658</v>
      </c>
      <c r="D171" s="65">
        <v>45747</v>
      </c>
      <c r="E171" s="72">
        <v>0</v>
      </c>
      <c r="F171" s="73"/>
      <c r="G171" s="73">
        <f t="shared" si="89"/>
        <v>96249.999999999985</v>
      </c>
      <c r="H171" s="73">
        <f t="shared" si="90"/>
        <v>96250.809999999983</v>
      </c>
      <c r="I171" s="128">
        <f t="shared" si="83"/>
        <v>1.0000084155844156</v>
      </c>
      <c r="J171" s="75">
        <v>0</v>
      </c>
      <c r="K171" s="77"/>
      <c r="L171" s="77">
        <f t="shared" si="94"/>
        <v>6000</v>
      </c>
      <c r="M171" s="77">
        <f t="shared" si="91"/>
        <v>6000</v>
      </c>
      <c r="N171" s="78">
        <f t="shared" si="92"/>
        <v>1</v>
      </c>
      <c r="O171" s="131"/>
      <c r="P171" s="130"/>
      <c r="Q171" s="116"/>
      <c r="R171" s="116"/>
      <c r="S171" s="116"/>
      <c r="T171" s="116"/>
      <c r="U171" s="116"/>
      <c r="V171" s="116"/>
    </row>
    <row r="172" spans="1:22" ht="15.5" x14ac:dyDescent="0.35">
      <c r="A172" s="64">
        <v>2025</v>
      </c>
      <c r="B172" s="64">
        <v>2</v>
      </c>
      <c r="C172" s="65">
        <v>45748</v>
      </c>
      <c r="D172" s="65">
        <v>45838</v>
      </c>
      <c r="E172" s="72">
        <v>0</v>
      </c>
      <c r="F172" s="73"/>
      <c r="G172" s="73">
        <f t="shared" si="89"/>
        <v>96249.999999999985</v>
      </c>
      <c r="H172" s="73">
        <f t="shared" si="90"/>
        <v>96250.809999999983</v>
      </c>
      <c r="I172" s="128">
        <f t="shared" si="83"/>
        <v>1.0000084155844156</v>
      </c>
      <c r="J172" s="75">
        <v>0</v>
      </c>
      <c r="K172" s="77"/>
      <c r="L172" s="77">
        <f t="shared" si="94"/>
        <v>6000</v>
      </c>
      <c r="M172" s="77">
        <f t="shared" si="91"/>
        <v>6000</v>
      </c>
      <c r="N172" s="78">
        <f t="shared" si="92"/>
        <v>1</v>
      </c>
      <c r="O172" s="131"/>
      <c r="P172" s="130"/>
      <c r="Q172" s="116"/>
      <c r="R172" s="116"/>
      <c r="S172" s="116"/>
      <c r="T172" s="116"/>
      <c r="U172" s="116"/>
      <c r="V172" s="116"/>
    </row>
    <row r="173" spans="1:22" ht="15.5" x14ac:dyDescent="0.35">
      <c r="A173" s="64">
        <v>2025</v>
      </c>
      <c r="B173" s="64">
        <v>3</v>
      </c>
      <c r="C173" s="65">
        <v>45839</v>
      </c>
      <c r="D173" s="65">
        <v>45930</v>
      </c>
      <c r="E173" s="72">
        <v>0</v>
      </c>
      <c r="F173" s="73"/>
      <c r="G173" s="73">
        <f t="shared" si="89"/>
        <v>96249.999999999985</v>
      </c>
      <c r="H173" s="73">
        <f t="shared" si="90"/>
        <v>96250.809999999983</v>
      </c>
      <c r="I173" s="128">
        <f t="shared" si="83"/>
        <v>1.0000084155844156</v>
      </c>
      <c r="J173" s="75">
        <v>0</v>
      </c>
      <c r="K173" s="77"/>
      <c r="L173" s="77">
        <f t="shared" si="94"/>
        <v>6000</v>
      </c>
      <c r="M173" s="77">
        <f t="shared" si="91"/>
        <v>6000</v>
      </c>
      <c r="N173" s="78">
        <f t="shared" si="92"/>
        <v>1</v>
      </c>
      <c r="O173" s="131"/>
      <c r="P173" s="130"/>
      <c r="Q173" s="116"/>
      <c r="R173" s="116"/>
      <c r="S173" s="116"/>
      <c r="T173" s="116"/>
      <c r="U173" s="116"/>
      <c r="V173" s="116"/>
    </row>
    <row r="174" spans="1:22" ht="15.5" x14ac:dyDescent="0.35">
      <c r="A174" s="64">
        <v>2025</v>
      </c>
      <c r="B174" s="64">
        <v>4</v>
      </c>
      <c r="C174" s="65">
        <v>45931</v>
      </c>
      <c r="D174" s="65">
        <v>46022</v>
      </c>
      <c r="E174" s="72">
        <v>0</v>
      </c>
      <c r="F174" s="73"/>
      <c r="G174" s="73">
        <f t="shared" si="89"/>
        <v>96249.999999999985</v>
      </c>
      <c r="H174" s="73">
        <f t="shared" si="90"/>
        <v>96250.809999999983</v>
      </c>
      <c r="I174" s="128">
        <f t="shared" si="83"/>
        <v>1.0000084155844156</v>
      </c>
      <c r="J174" s="75">
        <v>0</v>
      </c>
      <c r="K174" s="77"/>
      <c r="L174" s="77">
        <f t="shared" si="94"/>
        <v>6000</v>
      </c>
      <c r="M174" s="77">
        <f t="shared" si="91"/>
        <v>6000</v>
      </c>
      <c r="N174" s="78">
        <f t="shared" si="92"/>
        <v>1</v>
      </c>
      <c r="O174" s="131"/>
      <c r="P174" s="130"/>
      <c r="Q174" s="116"/>
      <c r="R174" s="116"/>
      <c r="S174" s="116"/>
      <c r="T174" s="116"/>
      <c r="U174" s="116"/>
      <c r="V174" s="116"/>
    </row>
    <row r="175" spans="1:22" ht="15.5" x14ac:dyDescent="0.35">
      <c r="A175" s="64">
        <v>2026</v>
      </c>
      <c r="B175" s="64">
        <v>1</v>
      </c>
      <c r="C175" s="65">
        <v>46023</v>
      </c>
      <c r="D175" s="65">
        <v>46112</v>
      </c>
      <c r="E175" s="72">
        <v>0</v>
      </c>
      <c r="F175" s="73"/>
      <c r="G175" s="73">
        <f t="shared" si="89"/>
        <v>96249.999999999985</v>
      </c>
      <c r="H175" s="73">
        <f t="shared" si="90"/>
        <v>96250.809999999983</v>
      </c>
      <c r="I175" s="128">
        <f>H175/G175</f>
        <v>1.0000084155844156</v>
      </c>
      <c r="J175" s="75">
        <v>0</v>
      </c>
      <c r="K175" s="77"/>
      <c r="L175" s="77">
        <f t="shared" si="94"/>
        <v>6000</v>
      </c>
      <c r="M175" s="77">
        <f t="shared" si="91"/>
        <v>6000</v>
      </c>
      <c r="N175" s="78">
        <f t="shared" si="92"/>
        <v>1</v>
      </c>
      <c r="O175" s="131"/>
      <c r="P175" s="130"/>
      <c r="Q175" s="116"/>
      <c r="R175" s="116"/>
      <c r="S175" s="116"/>
      <c r="T175" s="116"/>
      <c r="U175" s="116"/>
      <c r="V175" s="116"/>
    </row>
    <row r="176" spans="1:22" ht="15.5" x14ac:dyDescent="0.35">
      <c r="A176" s="64">
        <v>2026</v>
      </c>
      <c r="B176" s="64">
        <v>2</v>
      </c>
      <c r="C176" s="65">
        <v>46113</v>
      </c>
      <c r="D176" s="65">
        <v>46203</v>
      </c>
      <c r="E176" s="72">
        <v>0</v>
      </c>
      <c r="F176" s="73"/>
      <c r="G176" s="73">
        <f t="shared" si="89"/>
        <v>96249.999999999985</v>
      </c>
      <c r="H176" s="73">
        <f t="shared" si="90"/>
        <v>96250.809999999983</v>
      </c>
      <c r="I176" s="128">
        <f t="shared" ref="I176:I177" si="95">H176/G176</f>
        <v>1.0000084155844156</v>
      </c>
      <c r="J176" s="75">
        <v>0</v>
      </c>
      <c r="K176" s="77"/>
      <c r="L176" s="77">
        <f t="shared" si="94"/>
        <v>6000</v>
      </c>
      <c r="M176" s="77">
        <f t="shared" si="91"/>
        <v>6000</v>
      </c>
      <c r="N176" s="78">
        <f t="shared" si="92"/>
        <v>1</v>
      </c>
      <c r="O176" s="131"/>
      <c r="P176" s="130"/>
      <c r="Q176" s="116"/>
      <c r="R176" s="116"/>
      <c r="S176" s="116"/>
      <c r="T176" s="116"/>
      <c r="U176" s="116"/>
      <c r="V176" s="116"/>
    </row>
    <row r="177" spans="1:22" ht="15.5" x14ac:dyDescent="0.35">
      <c r="A177" s="64">
        <v>2026</v>
      </c>
      <c r="B177" s="64">
        <v>3</v>
      </c>
      <c r="C177" s="65">
        <v>46204</v>
      </c>
      <c r="D177" s="65">
        <v>46295</v>
      </c>
      <c r="E177" s="72">
        <v>0</v>
      </c>
      <c r="F177" s="73"/>
      <c r="G177" s="73">
        <f t="shared" si="89"/>
        <v>96249.999999999985</v>
      </c>
      <c r="H177" s="73">
        <f>SUM(H176+F177)</f>
        <v>96250.809999999983</v>
      </c>
      <c r="I177" s="128">
        <f t="shared" si="95"/>
        <v>1.0000084155844156</v>
      </c>
      <c r="J177" s="75">
        <v>0</v>
      </c>
      <c r="K177" s="132"/>
      <c r="L177" s="132">
        <f t="shared" si="94"/>
        <v>6000</v>
      </c>
      <c r="M177" s="132">
        <f t="shared" si="91"/>
        <v>6000</v>
      </c>
      <c r="N177" s="78">
        <f t="shared" si="92"/>
        <v>1</v>
      </c>
      <c r="O177" s="131"/>
      <c r="P177" s="130"/>
      <c r="Q177" s="116"/>
      <c r="R177" s="116"/>
      <c r="S177" s="116"/>
      <c r="T177" s="116"/>
      <c r="U177" s="116"/>
      <c r="V177" s="116"/>
    </row>
    <row r="178" spans="1:22" ht="15" thickBot="1" x14ac:dyDescent="0.4">
      <c r="A178" s="133" t="s">
        <v>12</v>
      </c>
      <c r="B178" s="133"/>
      <c r="C178" s="133"/>
      <c r="D178" s="134"/>
      <c r="E178" s="135">
        <f>86625+9625</f>
        <v>96250</v>
      </c>
      <c r="F178" s="136">
        <f>SUM(F154:F177)</f>
        <v>96250.809999999983</v>
      </c>
      <c r="G178" s="136">
        <f>G177</f>
        <v>96249.999999999985</v>
      </c>
      <c r="H178" s="137">
        <f>H177</f>
        <v>96250.809999999983</v>
      </c>
      <c r="I178" s="189">
        <f>H178/G178</f>
        <v>1.0000084155844156</v>
      </c>
      <c r="J178" s="138">
        <v>6000</v>
      </c>
      <c r="K178" s="139">
        <f>SUM(K154:K177)</f>
        <v>6000</v>
      </c>
      <c r="L178" s="140">
        <f>L177</f>
        <v>6000</v>
      </c>
      <c r="M178" s="141">
        <f>M177</f>
        <v>6000</v>
      </c>
      <c r="N178" s="142">
        <f>M178/L178</f>
        <v>1</v>
      </c>
      <c r="O178" s="143">
        <f>SUM(O154:O177)</f>
        <v>1</v>
      </c>
      <c r="P178" s="143">
        <f>SUM(P154:P177)</f>
        <v>1</v>
      </c>
    </row>
    <row r="179" spans="1:22" ht="15" thickTop="1" x14ac:dyDescent="0.35">
      <c r="E179" s="33">
        <f>E178+J178</f>
        <v>102250</v>
      </c>
    </row>
    <row r="180" spans="1:22" x14ac:dyDescent="0.35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</row>
    <row r="181" spans="1:22" x14ac:dyDescent="0.35">
      <c r="A181" s="198" t="s">
        <v>85</v>
      </c>
      <c r="B181" s="198"/>
      <c r="C181" s="198"/>
      <c r="D181" s="198"/>
      <c r="E181" s="198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16"/>
      <c r="R181" s="116"/>
      <c r="S181" s="116"/>
      <c r="T181" s="116"/>
      <c r="U181" s="116"/>
      <c r="V181" s="116"/>
    </row>
    <row r="182" spans="1:22" ht="15" thickBot="1" x14ac:dyDescent="0.4">
      <c r="A182" s="202" t="s">
        <v>0</v>
      </c>
      <c r="B182" s="204"/>
      <c r="C182" s="204"/>
      <c r="D182" s="204"/>
      <c r="E182" s="193" t="s">
        <v>19</v>
      </c>
      <c r="F182" s="193"/>
      <c r="G182" s="193"/>
      <c r="H182" s="193"/>
      <c r="I182" s="194"/>
      <c r="J182" s="195" t="s">
        <v>20</v>
      </c>
      <c r="K182" s="196"/>
      <c r="L182" s="196"/>
      <c r="M182" s="196"/>
      <c r="N182" s="197"/>
      <c r="O182" s="12"/>
      <c r="P182" s="6"/>
      <c r="Q182" s="116"/>
      <c r="R182" s="116"/>
      <c r="S182" s="116"/>
      <c r="T182" s="116"/>
      <c r="U182" s="116"/>
      <c r="V182" s="116"/>
    </row>
    <row r="183" spans="1:22" ht="58.5" thickTop="1" x14ac:dyDescent="0.35">
      <c r="A183" s="7" t="s">
        <v>1</v>
      </c>
      <c r="B183" s="7" t="s">
        <v>2</v>
      </c>
      <c r="C183" s="7" t="s">
        <v>3</v>
      </c>
      <c r="D183" s="9" t="s">
        <v>9</v>
      </c>
      <c r="E183" s="19" t="s">
        <v>4</v>
      </c>
      <c r="F183" s="20" t="s">
        <v>6</v>
      </c>
      <c r="G183" s="20" t="s">
        <v>5</v>
      </c>
      <c r="H183" s="20" t="s">
        <v>7</v>
      </c>
      <c r="I183" s="23" t="s">
        <v>8</v>
      </c>
      <c r="J183" s="25" t="s">
        <v>4</v>
      </c>
      <c r="K183" s="26" t="s">
        <v>6</v>
      </c>
      <c r="L183" s="26" t="s">
        <v>5</v>
      </c>
      <c r="M183" s="26" t="s">
        <v>7</v>
      </c>
      <c r="N183" s="27" t="s">
        <v>8</v>
      </c>
      <c r="O183" s="13" t="s">
        <v>10</v>
      </c>
      <c r="P183" s="8" t="s">
        <v>11</v>
      </c>
      <c r="Q183" s="116"/>
      <c r="R183" s="116"/>
      <c r="S183" s="116"/>
      <c r="T183" s="116"/>
      <c r="U183" s="116"/>
      <c r="V183" s="116"/>
    </row>
    <row r="184" spans="1:22" ht="15.5" x14ac:dyDescent="0.35">
      <c r="A184" s="64">
        <v>2020</v>
      </c>
      <c r="B184" s="64">
        <v>4</v>
      </c>
      <c r="C184" s="65">
        <v>44105</v>
      </c>
      <c r="D184" s="65">
        <v>44196</v>
      </c>
      <c r="E184" s="66">
        <v>0</v>
      </c>
      <c r="F184" s="66">
        <v>0</v>
      </c>
      <c r="G184" s="66">
        <v>0</v>
      </c>
      <c r="H184" s="66">
        <v>0</v>
      </c>
      <c r="I184" s="67">
        <v>0</v>
      </c>
      <c r="J184" s="66">
        <v>0</v>
      </c>
      <c r="K184" s="66">
        <v>0</v>
      </c>
      <c r="L184" s="66">
        <v>0</v>
      </c>
      <c r="M184" s="66">
        <v>0</v>
      </c>
      <c r="N184" s="67">
        <v>0</v>
      </c>
      <c r="O184" s="68">
        <v>0</v>
      </c>
      <c r="P184" s="69">
        <v>0</v>
      </c>
      <c r="Q184" s="116"/>
      <c r="R184" s="116"/>
      <c r="S184" s="116"/>
      <c r="T184" s="116"/>
      <c r="U184" s="116"/>
      <c r="V184" s="116"/>
    </row>
    <row r="185" spans="1:22" s="108" customFormat="1" ht="15.5" x14ac:dyDescent="0.35">
      <c r="A185" s="64">
        <v>2021</v>
      </c>
      <c r="B185" s="64">
        <v>1</v>
      </c>
      <c r="C185" s="65">
        <v>44197</v>
      </c>
      <c r="D185" s="65">
        <v>44286</v>
      </c>
      <c r="E185" s="66">
        <v>0</v>
      </c>
      <c r="F185" s="66">
        <v>0</v>
      </c>
      <c r="G185" s="66">
        <v>0</v>
      </c>
      <c r="H185" s="66">
        <v>0</v>
      </c>
      <c r="I185" s="67">
        <v>0</v>
      </c>
      <c r="J185" s="66">
        <v>0</v>
      </c>
      <c r="K185" s="66">
        <v>0</v>
      </c>
      <c r="L185" s="66">
        <v>0</v>
      </c>
      <c r="M185" s="66">
        <v>0</v>
      </c>
      <c r="N185" s="67">
        <v>0</v>
      </c>
      <c r="O185" s="68">
        <v>0</v>
      </c>
      <c r="P185" s="69">
        <v>0</v>
      </c>
      <c r="Q185" s="116"/>
      <c r="R185" s="116"/>
      <c r="S185" s="116"/>
      <c r="T185" s="116"/>
      <c r="U185" s="116"/>
      <c r="V185" s="116"/>
    </row>
    <row r="186" spans="1:22" ht="15.5" x14ac:dyDescent="0.35">
      <c r="A186" s="89">
        <v>2021</v>
      </c>
      <c r="B186" s="89">
        <v>2</v>
      </c>
      <c r="C186" s="90">
        <v>44287</v>
      </c>
      <c r="D186" s="90">
        <v>44377</v>
      </c>
      <c r="E186" s="100">
        <v>0</v>
      </c>
      <c r="F186" s="92">
        <v>0</v>
      </c>
      <c r="G186" s="92">
        <f>E186</f>
        <v>0</v>
      </c>
      <c r="H186" s="92">
        <f>SUM(F186+0)</f>
        <v>0</v>
      </c>
      <c r="I186" s="101">
        <v>0</v>
      </c>
      <c r="J186" s="102">
        <v>0</v>
      </c>
      <c r="K186" s="103">
        <v>0</v>
      </c>
      <c r="L186" s="104">
        <f>J186</f>
        <v>0</v>
      </c>
      <c r="M186" s="103">
        <f>SUM(K186+0)</f>
        <v>0</v>
      </c>
      <c r="N186" s="105">
        <v>0</v>
      </c>
      <c r="O186" s="106">
        <v>0</v>
      </c>
      <c r="P186" s="107">
        <v>0</v>
      </c>
      <c r="Q186" s="116"/>
      <c r="R186" s="116"/>
      <c r="S186" s="116"/>
      <c r="T186" s="116"/>
      <c r="U186" s="116"/>
      <c r="V186" s="116"/>
    </row>
    <row r="187" spans="1:22" ht="15.5" x14ac:dyDescent="0.35">
      <c r="A187" s="64">
        <v>2021</v>
      </c>
      <c r="B187" s="64">
        <v>3</v>
      </c>
      <c r="C187" s="65">
        <v>44378</v>
      </c>
      <c r="D187" s="65">
        <v>44469</v>
      </c>
      <c r="E187" s="72">
        <f>$E$208/14</f>
        <v>446509.64285714284</v>
      </c>
      <c r="F187" s="73">
        <v>0</v>
      </c>
      <c r="G187" s="73">
        <f t="shared" ref="G187:G188" si="96">G186+E187</f>
        <v>446509.64285714284</v>
      </c>
      <c r="H187" s="73">
        <f t="shared" ref="H187:H191" si="97">SUM(H186+F187)</f>
        <v>0</v>
      </c>
      <c r="I187" s="74">
        <v>0</v>
      </c>
      <c r="J187" s="75">
        <f>$J$208/14</f>
        <v>14285.714285714286</v>
      </c>
      <c r="K187" s="76"/>
      <c r="L187" s="76">
        <f>L186+J187</f>
        <v>14285.714285714286</v>
      </c>
      <c r="M187" s="76">
        <f>SUM(M186+K187)</f>
        <v>0</v>
      </c>
      <c r="N187" s="78">
        <v>0</v>
      </c>
      <c r="O187" s="68">
        <v>0</v>
      </c>
      <c r="P187" s="69">
        <v>0</v>
      </c>
      <c r="Q187" s="116"/>
      <c r="R187" s="116"/>
      <c r="S187" s="116"/>
      <c r="T187" s="116"/>
      <c r="U187" s="116"/>
      <c r="V187" s="116"/>
    </row>
    <row r="188" spans="1:22" ht="15.5" x14ac:dyDescent="0.35">
      <c r="A188" s="64">
        <v>2022</v>
      </c>
      <c r="B188" s="64">
        <v>4</v>
      </c>
      <c r="C188" s="65">
        <v>44470</v>
      </c>
      <c r="D188" s="65">
        <v>44561</v>
      </c>
      <c r="E188" s="72">
        <f t="shared" ref="E188:E200" si="98">$E$208/14</f>
        <v>446509.64285714284</v>
      </c>
      <c r="F188" s="92">
        <v>0</v>
      </c>
      <c r="G188" s="92">
        <f t="shared" si="96"/>
        <v>893019.28571428568</v>
      </c>
      <c r="H188" s="92">
        <f t="shared" si="97"/>
        <v>0</v>
      </c>
      <c r="I188" s="101">
        <f t="shared" ref="I188:I204" si="99">H188/G188</f>
        <v>0</v>
      </c>
      <c r="J188" s="75">
        <f t="shared" ref="J188:J200" si="100">$J$208/14</f>
        <v>14285.714285714286</v>
      </c>
      <c r="K188" s="103"/>
      <c r="L188" s="103">
        <f t="shared" ref="L188:L191" si="101">L187+J188</f>
        <v>28571.428571428572</v>
      </c>
      <c r="M188" s="103">
        <f t="shared" ref="M188:M190" si="102">SUM(M187+K188)</f>
        <v>0</v>
      </c>
      <c r="N188" s="105">
        <f t="shared" ref="N188:N191" si="103">M188/L188</f>
        <v>0</v>
      </c>
      <c r="O188" s="106">
        <v>0</v>
      </c>
      <c r="P188" s="107">
        <v>0</v>
      </c>
      <c r="Q188" s="116"/>
      <c r="R188" s="116"/>
      <c r="S188" s="116"/>
      <c r="T188" s="116"/>
      <c r="U188" s="116"/>
      <c r="V188" s="116"/>
    </row>
    <row r="189" spans="1:22" ht="15.5" x14ac:dyDescent="0.35">
      <c r="A189" s="64">
        <v>2022</v>
      </c>
      <c r="B189" s="64">
        <v>1</v>
      </c>
      <c r="C189" s="65">
        <v>44562</v>
      </c>
      <c r="D189" s="65">
        <v>44651</v>
      </c>
      <c r="E189" s="72">
        <f t="shared" si="98"/>
        <v>446509.64285714284</v>
      </c>
      <c r="F189" s="92">
        <v>0</v>
      </c>
      <c r="G189" s="92">
        <f>G188+E189</f>
        <v>1339528.9285714286</v>
      </c>
      <c r="H189" s="92">
        <f t="shared" si="97"/>
        <v>0</v>
      </c>
      <c r="I189" s="101">
        <f t="shared" si="99"/>
        <v>0</v>
      </c>
      <c r="J189" s="75">
        <f t="shared" si="100"/>
        <v>14285.714285714286</v>
      </c>
      <c r="K189" s="103">
        <v>1100</v>
      </c>
      <c r="L189" s="103">
        <f t="shared" si="101"/>
        <v>42857.142857142855</v>
      </c>
      <c r="M189" s="103">
        <f t="shared" si="102"/>
        <v>1100</v>
      </c>
      <c r="N189" s="105">
        <f t="shared" si="103"/>
        <v>2.5666666666666667E-2</v>
      </c>
      <c r="O189" s="106">
        <v>0</v>
      </c>
      <c r="P189" s="107">
        <v>0</v>
      </c>
      <c r="Q189" s="116"/>
      <c r="R189" s="116"/>
      <c r="S189" s="116"/>
      <c r="T189" s="116"/>
      <c r="U189" s="116"/>
      <c r="V189" s="116"/>
    </row>
    <row r="190" spans="1:22" ht="15.5" x14ac:dyDescent="0.35">
      <c r="A190" s="64">
        <v>2022</v>
      </c>
      <c r="B190" s="64">
        <v>2</v>
      </c>
      <c r="C190" s="65">
        <v>44652</v>
      </c>
      <c r="D190" s="65">
        <v>44742</v>
      </c>
      <c r="E190" s="72">
        <f t="shared" si="98"/>
        <v>446509.64285714284</v>
      </c>
      <c r="F190" s="92">
        <v>607499</v>
      </c>
      <c r="G190" s="92">
        <f t="shared" ref="G190:G191" si="104">G189+E190</f>
        <v>1786038.5714285714</v>
      </c>
      <c r="H190" s="92">
        <f t="shared" si="97"/>
        <v>607499</v>
      </c>
      <c r="I190" s="101">
        <f t="shared" si="99"/>
        <v>0.3401376709989466</v>
      </c>
      <c r="J190" s="75">
        <f t="shared" si="100"/>
        <v>14285.714285714286</v>
      </c>
      <c r="K190" s="103">
        <v>1412</v>
      </c>
      <c r="L190" s="103">
        <f t="shared" si="101"/>
        <v>57142.857142857145</v>
      </c>
      <c r="M190" s="103">
        <f t="shared" si="102"/>
        <v>2512</v>
      </c>
      <c r="N190" s="105">
        <f t="shared" si="103"/>
        <v>4.3959999999999999E-2</v>
      </c>
      <c r="O190" s="106">
        <v>0</v>
      </c>
      <c r="P190" s="107">
        <v>0</v>
      </c>
      <c r="Q190" s="116"/>
      <c r="R190" s="116"/>
      <c r="S190" s="116"/>
      <c r="T190" s="116"/>
      <c r="U190" s="116"/>
      <c r="V190" s="116"/>
    </row>
    <row r="191" spans="1:22" ht="15.5" x14ac:dyDescent="0.35">
      <c r="A191" s="64">
        <v>2022</v>
      </c>
      <c r="B191" s="64">
        <v>3</v>
      </c>
      <c r="C191" s="65">
        <v>44743</v>
      </c>
      <c r="D191" s="65">
        <v>44834</v>
      </c>
      <c r="E191" s="72">
        <f t="shared" si="98"/>
        <v>446509.64285714284</v>
      </c>
      <c r="F191" s="92">
        <v>1159468</v>
      </c>
      <c r="G191" s="92">
        <f t="shared" si="104"/>
        <v>2232548.2142857141</v>
      </c>
      <c r="H191" s="92">
        <f t="shared" si="97"/>
        <v>1766967</v>
      </c>
      <c r="I191" s="101">
        <f t="shared" si="99"/>
        <v>0.79145748732030274</v>
      </c>
      <c r="J191" s="75">
        <f t="shared" si="100"/>
        <v>14285.714285714286</v>
      </c>
      <c r="K191" s="103">
        <v>16026</v>
      </c>
      <c r="L191" s="103">
        <f t="shared" si="101"/>
        <v>71428.571428571435</v>
      </c>
      <c r="M191" s="103">
        <f>SUM(M190+K191)</f>
        <v>18538</v>
      </c>
      <c r="N191" s="105">
        <f t="shared" si="103"/>
        <v>0.25953199999999998</v>
      </c>
      <c r="O191" s="106">
        <v>0</v>
      </c>
      <c r="P191" s="107">
        <v>0</v>
      </c>
      <c r="Q191" s="116"/>
      <c r="R191" s="116"/>
      <c r="S191" s="116"/>
      <c r="T191" s="116"/>
      <c r="U191" s="116"/>
      <c r="V191" s="116"/>
    </row>
    <row r="192" spans="1:22" ht="15.5" x14ac:dyDescent="0.35">
      <c r="A192" s="64">
        <v>2022</v>
      </c>
      <c r="B192" s="64">
        <v>4</v>
      </c>
      <c r="C192" s="65">
        <v>44835</v>
      </c>
      <c r="D192" s="65">
        <v>44926</v>
      </c>
      <c r="E192" s="72">
        <f t="shared" si="98"/>
        <v>446509.64285714284</v>
      </c>
      <c r="F192" s="92">
        <v>0</v>
      </c>
      <c r="G192" s="92">
        <f>G191+E192</f>
        <v>2679057.8571428568</v>
      </c>
      <c r="H192" s="92">
        <f>SUM(H191+F192)</f>
        <v>1766967</v>
      </c>
      <c r="I192" s="101">
        <f t="shared" si="99"/>
        <v>0.65954790610025227</v>
      </c>
      <c r="J192" s="75">
        <f t="shared" si="100"/>
        <v>14285.714285714286</v>
      </c>
      <c r="K192" s="103">
        <v>0</v>
      </c>
      <c r="L192" s="103">
        <f>L191+J192</f>
        <v>85714.285714285725</v>
      </c>
      <c r="M192" s="103">
        <f>SUM(M191+K192)</f>
        <v>18538</v>
      </c>
      <c r="N192" s="105">
        <f>M192/L192</f>
        <v>0.21627666666666664</v>
      </c>
      <c r="O192" s="106">
        <v>0</v>
      </c>
      <c r="P192" s="107">
        <v>0</v>
      </c>
      <c r="Q192" s="116"/>
      <c r="R192" s="116"/>
      <c r="S192" s="116"/>
      <c r="T192" s="116"/>
      <c r="U192" s="116"/>
      <c r="V192" s="116"/>
    </row>
    <row r="193" spans="1:22" ht="15.5" x14ac:dyDescent="0.35">
      <c r="A193" s="64">
        <v>2023</v>
      </c>
      <c r="B193" s="64">
        <v>1</v>
      </c>
      <c r="C193" s="65">
        <v>44927</v>
      </c>
      <c r="D193" s="65">
        <v>45016</v>
      </c>
      <c r="E193" s="72">
        <f t="shared" si="98"/>
        <v>446509.64285714284</v>
      </c>
      <c r="F193" s="92">
        <v>1498069</v>
      </c>
      <c r="G193" s="92">
        <f t="shared" ref="G193:G207" si="105">G192+E193</f>
        <v>3125567.4999999995</v>
      </c>
      <c r="H193" s="92">
        <f t="shared" ref="H193:H206" si="106">SUM(H192+F193)</f>
        <v>3265036</v>
      </c>
      <c r="I193" s="101">
        <f t="shared" si="99"/>
        <v>1.0446218166780914</v>
      </c>
      <c r="J193" s="75">
        <f t="shared" si="100"/>
        <v>14285.714285714286</v>
      </c>
      <c r="K193" s="103">
        <v>21368</v>
      </c>
      <c r="L193" s="103">
        <f>L192+J193</f>
        <v>100000.00000000001</v>
      </c>
      <c r="M193" s="103">
        <f t="shared" ref="M193:M207" si="107">SUM(M192+K193)</f>
        <v>39906</v>
      </c>
      <c r="N193" s="105">
        <f t="shared" ref="N193:N207" si="108">M193/L193</f>
        <v>0.39905999999999991</v>
      </c>
      <c r="O193" s="106">
        <v>0</v>
      </c>
      <c r="P193" s="107">
        <v>0</v>
      </c>
      <c r="Q193" s="116"/>
      <c r="R193" s="116"/>
      <c r="S193" s="116"/>
      <c r="T193" s="116"/>
      <c r="U193" s="116"/>
      <c r="V193" s="116"/>
    </row>
    <row r="194" spans="1:22" ht="15.5" x14ac:dyDescent="0.35">
      <c r="A194" s="64">
        <v>2023</v>
      </c>
      <c r="B194" s="64">
        <v>2</v>
      </c>
      <c r="C194" s="65">
        <v>45017</v>
      </c>
      <c r="D194" s="65">
        <v>45107</v>
      </c>
      <c r="E194" s="72">
        <f t="shared" si="98"/>
        <v>446509.64285714284</v>
      </c>
      <c r="F194" s="92">
        <v>1713856</v>
      </c>
      <c r="G194" s="92">
        <f t="shared" si="105"/>
        <v>3572077.1428571423</v>
      </c>
      <c r="H194" s="92">
        <f t="shared" si="106"/>
        <v>4978892</v>
      </c>
      <c r="I194" s="101">
        <f t="shared" si="99"/>
        <v>1.3938366392663095</v>
      </c>
      <c r="J194" s="75">
        <f t="shared" si="100"/>
        <v>14285.714285714286</v>
      </c>
      <c r="K194" s="103">
        <v>21368</v>
      </c>
      <c r="L194" s="103">
        <f t="shared" ref="L194" si="109">L193+J194</f>
        <v>114285.7142857143</v>
      </c>
      <c r="M194" s="103">
        <f t="shared" si="107"/>
        <v>61274</v>
      </c>
      <c r="N194" s="105">
        <f t="shared" si="108"/>
        <v>0.53614749999999989</v>
      </c>
      <c r="O194" s="106">
        <v>0</v>
      </c>
      <c r="P194" s="107">
        <v>0</v>
      </c>
      <c r="Q194" s="116"/>
      <c r="R194" s="116"/>
      <c r="S194" s="116"/>
      <c r="T194" s="116"/>
      <c r="U194" s="116"/>
      <c r="V194" s="116"/>
    </row>
    <row r="195" spans="1:22" ht="15.5" x14ac:dyDescent="0.35">
      <c r="A195" s="64">
        <v>2023</v>
      </c>
      <c r="B195" s="64">
        <v>3</v>
      </c>
      <c r="C195" s="65">
        <v>45108</v>
      </c>
      <c r="D195" s="65">
        <v>45199</v>
      </c>
      <c r="E195" s="72">
        <f t="shared" si="98"/>
        <v>446509.64285714284</v>
      </c>
      <c r="F195" s="92">
        <v>0</v>
      </c>
      <c r="G195" s="92">
        <f t="shared" si="105"/>
        <v>4018586.785714285</v>
      </c>
      <c r="H195" s="92">
        <f t="shared" si="106"/>
        <v>4978892</v>
      </c>
      <c r="I195" s="101">
        <f t="shared" si="99"/>
        <v>1.2389659015700529</v>
      </c>
      <c r="J195" s="75">
        <f t="shared" si="100"/>
        <v>14285.714285714286</v>
      </c>
      <c r="K195" s="103">
        <v>0</v>
      </c>
      <c r="L195" s="103">
        <f>L194+J195</f>
        <v>128571.42857142859</v>
      </c>
      <c r="M195" s="103">
        <f t="shared" si="107"/>
        <v>61274</v>
      </c>
      <c r="N195" s="105">
        <f t="shared" si="108"/>
        <v>0.47657555555555547</v>
      </c>
      <c r="O195" s="106">
        <v>0</v>
      </c>
      <c r="P195" s="107">
        <v>0</v>
      </c>
      <c r="Q195" s="116"/>
      <c r="R195" s="116"/>
      <c r="S195" s="116"/>
      <c r="T195" s="116"/>
      <c r="U195" s="116"/>
      <c r="V195" s="116"/>
    </row>
    <row r="196" spans="1:22" ht="15.5" x14ac:dyDescent="0.35">
      <c r="A196" s="64">
        <v>2023</v>
      </c>
      <c r="B196" s="64">
        <v>4</v>
      </c>
      <c r="C196" s="65">
        <v>45200</v>
      </c>
      <c r="D196" s="65">
        <v>45291</v>
      </c>
      <c r="E196" s="72">
        <f t="shared" si="98"/>
        <v>446509.64285714284</v>
      </c>
      <c r="F196" s="73">
        <f>647129.5+(28013.75)</f>
        <v>675143.25</v>
      </c>
      <c r="G196" s="73">
        <f t="shared" si="105"/>
        <v>4465096.4285714282</v>
      </c>
      <c r="H196" s="73">
        <f t="shared" si="106"/>
        <v>5654035.25</v>
      </c>
      <c r="I196" s="74">
        <f t="shared" si="99"/>
        <v>1.2662739406523777</v>
      </c>
      <c r="J196" s="75">
        <f t="shared" si="100"/>
        <v>14285.714285714286</v>
      </c>
      <c r="K196" s="76">
        <v>26710</v>
      </c>
      <c r="L196" s="76">
        <f t="shared" ref="L196:L207" si="110">L195+J196</f>
        <v>142857.14285714287</v>
      </c>
      <c r="M196" s="76">
        <f t="shared" si="107"/>
        <v>87984</v>
      </c>
      <c r="N196" s="78">
        <f t="shared" si="108"/>
        <v>0.61588799999999999</v>
      </c>
      <c r="O196" s="68">
        <v>0</v>
      </c>
      <c r="P196" s="69">
        <v>0</v>
      </c>
      <c r="Q196" s="116"/>
      <c r="R196" s="116"/>
      <c r="S196" s="116"/>
      <c r="T196" s="116"/>
      <c r="U196" s="116"/>
      <c r="V196" s="116"/>
    </row>
    <row r="197" spans="1:22" ht="15.5" x14ac:dyDescent="0.35">
      <c r="A197" s="64">
        <v>2024</v>
      </c>
      <c r="B197" s="64">
        <v>1</v>
      </c>
      <c r="C197" s="65">
        <v>45292</v>
      </c>
      <c r="D197" s="65">
        <v>45382</v>
      </c>
      <c r="E197" s="72">
        <f t="shared" si="98"/>
        <v>446509.64285714284</v>
      </c>
      <c r="F197" s="73">
        <v>0</v>
      </c>
      <c r="G197" s="73">
        <f t="shared" si="105"/>
        <v>4911606.0714285709</v>
      </c>
      <c r="H197" s="73">
        <f t="shared" si="106"/>
        <v>5654035.25</v>
      </c>
      <c r="I197" s="74">
        <f t="shared" si="99"/>
        <v>1.1511581278657979</v>
      </c>
      <c r="J197" s="75">
        <f t="shared" si="100"/>
        <v>14285.714285714286</v>
      </c>
      <c r="K197" s="76">
        <v>0</v>
      </c>
      <c r="L197" s="76">
        <f t="shared" si="110"/>
        <v>157142.85714285716</v>
      </c>
      <c r="M197" s="76">
        <f t="shared" si="107"/>
        <v>87984</v>
      </c>
      <c r="N197" s="78">
        <f t="shared" si="108"/>
        <v>0.55989818181818174</v>
      </c>
      <c r="O197" s="68">
        <v>0</v>
      </c>
      <c r="P197" s="69">
        <v>0</v>
      </c>
      <c r="Q197" s="116"/>
      <c r="R197" s="116"/>
      <c r="S197" s="116"/>
      <c r="T197" s="116"/>
      <c r="U197" s="116"/>
      <c r="V197" s="116"/>
    </row>
    <row r="198" spans="1:22" ht="15.5" x14ac:dyDescent="0.35">
      <c r="A198" s="64">
        <v>2024</v>
      </c>
      <c r="B198" s="64">
        <v>2</v>
      </c>
      <c r="C198" s="65">
        <v>45383</v>
      </c>
      <c r="D198" s="65">
        <v>45473</v>
      </c>
      <c r="E198" s="72">
        <f t="shared" si="98"/>
        <v>446509.64285714284</v>
      </c>
      <c r="F198" s="73">
        <v>0</v>
      </c>
      <c r="G198" s="73">
        <f t="shared" si="105"/>
        <v>5358115.7142857136</v>
      </c>
      <c r="H198" s="73">
        <f t="shared" si="106"/>
        <v>5654035.25</v>
      </c>
      <c r="I198" s="74">
        <f t="shared" si="99"/>
        <v>1.0552282838769813</v>
      </c>
      <c r="J198" s="75">
        <f t="shared" si="100"/>
        <v>14285.714285714286</v>
      </c>
      <c r="K198" s="76">
        <v>0</v>
      </c>
      <c r="L198" s="76">
        <f t="shared" si="110"/>
        <v>171428.57142857145</v>
      </c>
      <c r="M198" s="76">
        <f t="shared" si="107"/>
        <v>87984</v>
      </c>
      <c r="N198" s="78">
        <f t="shared" si="108"/>
        <v>0.51323999999999992</v>
      </c>
      <c r="O198" s="68">
        <v>0</v>
      </c>
      <c r="P198" s="69">
        <v>0</v>
      </c>
      <c r="Q198" s="116"/>
      <c r="R198" s="116"/>
      <c r="S198" s="116"/>
      <c r="T198" s="116"/>
      <c r="U198" s="116"/>
      <c r="V198" s="116"/>
    </row>
    <row r="199" spans="1:22" ht="15.5" x14ac:dyDescent="0.35">
      <c r="A199" s="64">
        <v>2024</v>
      </c>
      <c r="B199" s="64">
        <v>3</v>
      </c>
      <c r="C199" s="65">
        <v>45474</v>
      </c>
      <c r="D199" s="65">
        <v>45565</v>
      </c>
      <c r="E199" s="72">
        <f t="shared" si="98"/>
        <v>446509.64285714284</v>
      </c>
      <c r="F199" s="73">
        <v>0</v>
      </c>
      <c r="G199" s="73">
        <f t="shared" si="105"/>
        <v>5804625.3571428563</v>
      </c>
      <c r="H199" s="73">
        <f t="shared" si="106"/>
        <v>5654035.25</v>
      </c>
      <c r="I199" s="128">
        <f t="shared" si="99"/>
        <v>0.97405687742490588</v>
      </c>
      <c r="J199" s="75">
        <f t="shared" si="100"/>
        <v>14285.714285714286</v>
      </c>
      <c r="K199" s="77">
        <v>0</v>
      </c>
      <c r="L199" s="77">
        <f t="shared" si="110"/>
        <v>185714.28571428574</v>
      </c>
      <c r="M199" s="77">
        <f t="shared" si="107"/>
        <v>87984</v>
      </c>
      <c r="N199" s="78">
        <f t="shared" si="108"/>
        <v>0.47375999999999996</v>
      </c>
      <c r="O199" s="131">
        <v>0</v>
      </c>
      <c r="P199" s="130">
        <v>0</v>
      </c>
      <c r="Q199" s="116"/>
      <c r="R199" s="116"/>
      <c r="S199" s="116"/>
      <c r="T199" s="116"/>
      <c r="U199" s="116"/>
      <c r="V199" s="116"/>
    </row>
    <row r="200" spans="1:22" ht="15.5" x14ac:dyDescent="0.35">
      <c r="A200" s="1">
        <v>2024</v>
      </c>
      <c r="B200" s="1">
        <v>4</v>
      </c>
      <c r="C200" s="2">
        <v>45566</v>
      </c>
      <c r="D200" s="2">
        <v>45657</v>
      </c>
      <c r="E200" s="21">
        <f t="shared" si="98"/>
        <v>446509.64285714284</v>
      </c>
      <c r="F200" s="18"/>
      <c r="G200" s="18">
        <f t="shared" si="105"/>
        <v>6251134.9999999991</v>
      </c>
      <c r="H200" s="18">
        <f t="shared" si="106"/>
        <v>5654035.25</v>
      </c>
      <c r="I200" s="24">
        <f t="shared" si="99"/>
        <v>0.90448138618026985</v>
      </c>
      <c r="J200" s="10">
        <f t="shared" si="100"/>
        <v>14285.714285714286</v>
      </c>
      <c r="K200" s="4"/>
      <c r="L200" s="4">
        <f t="shared" si="110"/>
        <v>200000.00000000003</v>
      </c>
      <c r="M200" s="4">
        <f t="shared" si="107"/>
        <v>87984</v>
      </c>
      <c r="N200" s="16">
        <f t="shared" si="108"/>
        <v>0.43991999999999992</v>
      </c>
      <c r="O200" s="14">
        <v>40</v>
      </c>
      <c r="P200" s="3"/>
      <c r="Q200" s="116"/>
      <c r="R200" s="116"/>
      <c r="S200" s="116"/>
      <c r="T200" s="116"/>
      <c r="U200" s="116"/>
      <c r="V200" s="116"/>
    </row>
    <row r="201" spans="1:22" ht="15.5" x14ac:dyDescent="0.35">
      <c r="A201" s="1">
        <v>2025</v>
      </c>
      <c r="B201" s="1">
        <v>1</v>
      </c>
      <c r="C201" s="2">
        <v>45658</v>
      </c>
      <c r="D201" s="2">
        <v>45747</v>
      </c>
      <c r="E201" s="22">
        <v>0</v>
      </c>
      <c r="F201" s="18"/>
      <c r="G201" s="18">
        <f t="shared" si="105"/>
        <v>6251134.9999999991</v>
      </c>
      <c r="H201" s="18">
        <f t="shared" si="106"/>
        <v>5654035.25</v>
      </c>
      <c r="I201" s="24">
        <f t="shared" si="99"/>
        <v>0.90448138618026985</v>
      </c>
      <c r="J201" s="11">
        <v>0</v>
      </c>
      <c r="K201" s="4"/>
      <c r="L201" s="4">
        <f t="shared" si="110"/>
        <v>200000.00000000003</v>
      </c>
      <c r="M201" s="4">
        <f t="shared" si="107"/>
        <v>87984</v>
      </c>
      <c r="N201" s="16">
        <f t="shared" si="108"/>
        <v>0.43991999999999992</v>
      </c>
      <c r="O201" s="14"/>
      <c r="P201" s="3"/>
      <c r="Q201" s="116"/>
      <c r="R201" s="116"/>
      <c r="S201" s="116"/>
      <c r="T201" s="116"/>
      <c r="U201" s="116"/>
      <c r="V201" s="116"/>
    </row>
    <row r="202" spans="1:22" ht="15.5" x14ac:dyDescent="0.35">
      <c r="A202" s="1">
        <v>2025</v>
      </c>
      <c r="B202" s="1">
        <v>2</v>
      </c>
      <c r="C202" s="2">
        <v>45748</v>
      </c>
      <c r="D202" s="2">
        <v>45838</v>
      </c>
      <c r="E202" s="22">
        <v>0</v>
      </c>
      <c r="F202" s="18"/>
      <c r="G202" s="18">
        <f t="shared" si="105"/>
        <v>6251134.9999999991</v>
      </c>
      <c r="H202" s="18">
        <f t="shared" si="106"/>
        <v>5654035.25</v>
      </c>
      <c r="I202" s="24">
        <f t="shared" si="99"/>
        <v>0.90448138618026985</v>
      </c>
      <c r="J202" s="11">
        <v>0</v>
      </c>
      <c r="K202" s="4"/>
      <c r="L202" s="4">
        <f t="shared" si="110"/>
        <v>200000.00000000003</v>
      </c>
      <c r="M202" s="4">
        <f t="shared" si="107"/>
        <v>87984</v>
      </c>
      <c r="N202" s="16">
        <f t="shared" si="108"/>
        <v>0.43991999999999992</v>
      </c>
      <c r="O202" s="14"/>
      <c r="P202" s="3"/>
      <c r="Q202" s="116"/>
      <c r="R202" s="116"/>
      <c r="S202" s="116"/>
      <c r="T202" s="116"/>
      <c r="U202" s="116"/>
      <c r="V202" s="116"/>
    </row>
    <row r="203" spans="1:22" ht="15.5" x14ac:dyDescent="0.35">
      <c r="A203" s="1">
        <v>2025</v>
      </c>
      <c r="B203" s="1">
        <v>3</v>
      </c>
      <c r="C203" s="2">
        <v>45839</v>
      </c>
      <c r="D203" s="2">
        <v>45930</v>
      </c>
      <c r="E203" s="22">
        <v>0</v>
      </c>
      <c r="F203" s="18"/>
      <c r="G203" s="18">
        <f t="shared" si="105"/>
        <v>6251134.9999999991</v>
      </c>
      <c r="H203" s="18">
        <f t="shared" si="106"/>
        <v>5654035.25</v>
      </c>
      <c r="I203" s="24">
        <f t="shared" si="99"/>
        <v>0.90448138618026985</v>
      </c>
      <c r="J203" s="11">
        <v>0</v>
      </c>
      <c r="K203" s="4"/>
      <c r="L203" s="4">
        <f t="shared" si="110"/>
        <v>200000.00000000003</v>
      </c>
      <c r="M203" s="4">
        <f t="shared" si="107"/>
        <v>87984</v>
      </c>
      <c r="N203" s="16">
        <f t="shared" si="108"/>
        <v>0.43991999999999992</v>
      </c>
      <c r="O203" s="14"/>
      <c r="P203" s="3"/>
      <c r="Q203" s="116"/>
      <c r="R203" s="116"/>
      <c r="S203" s="116"/>
      <c r="T203" s="116"/>
      <c r="U203" s="116"/>
      <c r="V203" s="116"/>
    </row>
    <row r="204" spans="1:22" ht="15.5" x14ac:dyDescent="0.35">
      <c r="A204" s="1">
        <v>2025</v>
      </c>
      <c r="B204" s="1">
        <v>4</v>
      </c>
      <c r="C204" s="2">
        <v>45931</v>
      </c>
      <c r="D204" s="2">
        <v>46022</v>
      </c>
      <c r="E204" s="22">
        <v>0</v>
      </c>
      <c r="F204" s="18"/>
      <c r="G204" s="18">
        <f t="shared" si="105"/>
        <v>6251134.9999999991</v>
      </c>
      <c r="H204" s="18">
        <f t="shared" si="106"/>
        <v>5654035.25</v>
      </c>
      <c r="I204" s="24">
        <f t="shared" si="99"/>
        <v>0.90448138618026985</v>
      </c>
      <c r="J204" s="11">
        <v>0</v>
      </c>
      <c r="K204" s="4"/>
      <c r="L204" s="4">
        <f t="shared" si="110"/>
        <v>200000.00000000003</v>
      </c>
      <c r="M204" s="4">
        <f t="shared" si="107"/>
        <v>87984</v>
      </c>
      <c r="N204" s="16">
        <f t="shared" si="108"/>
        <v>0.43991999999999992</v>
      </c>
      <c r="O204" s="14"/>
      <c r="P204" s="3"/>
      <c r="Q204" s="116"/>
      <c r="R204" s="116"/>
      <c r="S204" s="116"/>
      <c r="T204" s="116"/>
      <c r="U204" s="116"/>
      <c r="V204" s="116"/>
    </row>
    <row r="205" spans="1:22" ht="15.5" x14ac:dyDescent="0.35">
      <c r="A205" s="1">
        <v>2026</v>
      </c>
      <c r="B205" s="1">
        <v>1</v>
      </c>
      <c r="C205" s="2">
        <v>46023</v>
      </c>
      <c r="D205" s="2">
        <v>46112</v>
      </c>
      <c r="E205" s="22">
        <v>0</v>
      </c>
      <c r="F205" s="18"/>
      <c r="G205" s="18">
        <f t="shared" si="105"/>
        <v>6251134.9999999991</v>
      </c>
      <c r="H205" s="18">
        <f t="shared" si="106"/>
        <v>5654035.25</v>
      </c>
      <c r="I205" s="24">
        <f>H205/G205</f>
        <v>0.90448138618026985</v>
      </c>
      <c r="J205" s="11">
        <v>0</v>
      </c>
      <c r="K205" s="4"/>
      <c r="L205" s="4">
        <f t="shared" si="110"/>
        <v>200000.00000000003</v>
      </c>
      <c r="M205" s="4">
        <f t="shared" si="107"/>
        <v>87984</v>
      </c>
      <c r="N205" s="16">
        <f t="shared" si="108"/>
        <v>0.43991999999999992</v>
      </c>
      <c r="O205" s="14"/>
      <c r="P205" s="3"/>
      <c r="Q205" s="116"/>
      <c r="R205" s="116"/>
      <c r="S205" s="116"/>
      <c r="T205" s="116"/>
      <c r="U205" s="116"/>
      <c r="V205" s="116"/>
    </row>
    <row r="206" spans="1:22" ht="15.5" x14ac:dyDescent="0.35">
      <c r="A206" s="1">
        <v>2026</v>
      </c>
      <c r="B206" s="1">
        <v>2</v>
      </c>
      <c r="C206" s="2">
        <v>46113</v>
      </c>
      <c r="D206" s="2">
        <v>46203</v>
      </c>
      <c r="E206" s="22">
        <v>0</v>
      </c>
      <c r="F206" s="18"/>
      <c r="G206" s="18">
        <f t="shared" si="105"/>
        <v>6251134.9999999991</v>
      </c>
      <c r="H206" s="18">
        <f t="shared" si="106"/>
        <v>5654035.25</v>
      </c>
      <c r="I206" s="24">
        <f t="shared" ref="I206:I207" si="111">H206/G206</f>
        <v>0.90448138618026985</v>
      </c>
      <c r="J206" s="11">
        <v>0</v>
      </c>
      <c r="K206" s="4"/>
      <c r="L206" s="4">
        <f t="shared" si="110"/>
        <v>200000.00000000003</v>
      </c>
      <c r="M206" s="4">
        <f t="shared" si="107"/>
        <v>87984</v>
      </c>
      <c r="N206" s="16">
        <f t="shared" si="108"/>
        <v>0.43991999999999992</v>
      </c>
      <c r="O206" s="14"/>
      <c r="P206" s="3"/>
      <c r="Q206" s="116"/>
      <c r="R206" s="116"/>
      <c r="S206" s="116"/>
      <c r="T206" s="116"/>
      <c r="U206" s="116"/>
      <c r="V206" s="116"/>
    </row>
    <row r="207" spans="1:22" ht="15.5" x14ac:dyDescent="0.35">
      <c r="A207" s="1">
        <v>2026</v>
      </c>
      <c r="B207" s="1">
        <v>3</v>
      </c>
      <c r="C207" s="2">
        <v>46204</v>
      </c>
      <c r="D207" s="2">
        <v>46295</v>
      </c>
      <c r="E207" s="22">
        <v>0</v>
      </c>
      <c r="F207" s="18"/>
      <c r="G207" s="18">
        <f t="shared" si="105"/>
        <v>6251134.9999999991</v>
      </c>
      <c r="H207" s="18">
        <f>SUM(H206+F207)</f>
        <v>5654035.25</v>
      </c>
      <c r="I207" s="24">
        <f t="shared" si="111"/>
        <v>0.90448138618026985</v>
      </c>
      <c r="J207" s="11">
        <v>0</v>
      </c>
      <c r="K207" s="15"/>
      <c r="L207" s="15">
        <f t="shared" si="110"/>
        <v>200000.00000000003</v>
      </c>
      <c r="M207" s="15">
        <f t="shared" si="107"/>
        <v>87984</v>
      </c>
      <c r="N207" s="16">
        <f t="shared" si="108"/>
        <v>0.43991999999999992</v>
      </c>
      <c r="O207" s="14"/>
      <c r="P207" s="3"/>
      <c r="Q207" s="116"/>
      <c r="R207" s="116"/>
      <c r="S207" s="116"/>
      <c r="T207" s="116"/>
      <c r="U207" s="116"/>
      <c r="V207" s="116"/>
    </row>
    <row r="208" spans="1:22" ht="15" thickBot="1" x14ac:dyDescent="0.4">
      <c r="A208" s="36" t="s">
        <v>12</v>
      </c>
      <c r="B208" s="36"/>
      <c r="C208" s="36"/>
      <c r="D208" s="37"/>
      <c r="E208" s="38">
        <f>5626021+625114+0</f>
        <v>6251135</v>
      </c>
      <c r="F208" s="34">
        <f>SUM(F184:F207)</f>
        <v>5654035.25</v>
      </c>
      <c r="G208" s="34">
        <f>G207</f>
        <v>6251134.9999999991</v>
      </c>
      <c r="H208" s="35">
        <f>H207</f>
        <v>5654035.25</v>
      </c>
      <c r="I208" s="45">
        <f>H208/G208</f>
        <v>0.90448138618026985</v>
      </c>
      <c r="J208" s="39">
        <v>200000</v>
      </c>
      <c r="K208" s="46">
        <f>SUM(K184:K207)</f>
        <v>87984</v>
      </c>
      <c r="L208" s="40">
        <f>L207</f>
        <v>200000.00000000003</v>
      </c>
      <c r="M208" s="41">
        <f>M207</f>
        <v>87984</v>
      </c>
      <c r="N208" s="42">
        <f>M208/L208</f>
        <v>0.43991999999999992</v>
      </c>
      <c r="O208" s="43">
        <f>SUM(O184:O207)</f>
        <v>40</v>
      </c>
      <c r="P208" s="43">
        <f>SUM(P184:P207)</f>
        <v>0</v>
      </c>
    </row>
    <row r="209" spans="1:22" ht="15" thickTop="1" x14ac:dyDescent="0.35">
      <c r="E209" s="33">
        <f>E208+J208</f>
        <v>6451135</v>
      </c>
    </row>
    <row r="210" spans="1:22" x14ac:dyDescent="0.35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</row>
    <row r="211" spans="1:22" x14ac:dyDescent="0.35">
      <c r="A211" s="198" t="s">
        <v>64</v>
      </c>
      <c r="B211" s="198"/>
      <c r="C211" s="198"/>
      <c r="D211" s="198"/>
      <c r="E211" s="198"/>
      <c r="F211" s="198"/>
      <c r="G211" s="198"/>
      <c r="H211" s="198"/>
      <c r="I211" s="198"/>
      <c r="J211" s="198"/>
      <c r="K211" s="198"/>
      <c r="L211" s="198"/>
      <c r="M211" s="198"/>
      <c r="N211" s="198"/>
      <c r="O211" s="198"/>
      <c r="P211" s="198"/>
      <c r="Q211" s="116"/>
      <c r="R211" s="116"/>
      <c r="S211" s="116"/>
      <c r="T211" s="116"/>
      <c r="U211" s="116"/>
      <c r="V211" s="116"/>
    </row>
    <row r="212" spans="1:22" ht="15" thickBot="1" x14ac:dyDescent="0.4">
      <c r="A212" s="202" t="s">
        <v>0</v>
      </c>
      <c r="B212" s="204"/>
      <c r="C212" s="204"/>
      <c r="D212" s="204"/>
      <c r="E212" s="193" t="s">
        <v>19</v>
      </c>
      <c r="F212" s="193"/>
      <c r="G212" s="193"/>
      <c r="H212" s="193"/>
      <c r="I212" s="194"/>
      <c r="J212" s="195" t="s">
        <v>20</v>
      </c>
      <c r="K212" s="196"/>
      <c r="L212" s="196"/>
      <c r="M212" s="196"/>
      <c r="N212" s="197"/>
      <c r="O212" s="12"/>
      <c r="P212" s="6"/>
      <c r="Q212" s="116"/>
      <c r="R212" s="116"/>
      <c r="S212" s="116"/>
      <c r="T212" s="116"/>
      <c r="U212" s="116"/>
      <c r="V212" s="116"/>
    </row>
    <row r="213" spans="1:22" ht="58.5" thickTop="1" x14ac:dyDescent="0.35">
      <c r="A213" s="7" t="s">
        <v>1</v>
      </c>
      <c r="B213" s="7" t="s">
        <v>2</v>
      </c>
      <c r="C213" s="7" t="s">
        <v>3</v>
      </c>
      <c r="D213" s="9" t="s">
        <v>9</v>
      </c>
      <c r="E213" s="19" t="s">
        <v>4</v>
      </c>
      <c r="F213" s="20" t="s">
        <v>6</v>
      </c>
      <c r="G213" s="20" t="s">
        <v>5</v>
      </c>
      <c r="H213" s="20" t="s">
        <v>7</v>
      </c>
      <c r="I213" s="23" t="s">
        <v>8</v>
      </c>
      <c r="J213" s="25" t="s">
        <v>4</v>
      </c>
      <c r="K213" s="26" t="s">
        <v>6</v>
      </c>
      <c r="L213" s="26" t="s">
        <v>5</v>
      </c>
      <c r="M213" s="26" t="s">
        <v>7</v>
      </c>
      <c r="N213" s="27" t="s">
        <v>8</v>
      </c>
      <c r="O213" s="13" t="s">
        <v>10</v>
      </c>
      <c r="P213" s="8" t="s">
        <v>11</v>
      </c>
      <c r="Q213" s="116"/>
      <c r="R213" s="116"/>
      <c r="S213" s="116"/>
      <c r="T213" s="116"/>
      <c r="U213" s="116"/>
      <c r="V213" s="116"/>
    </row>
    <row r="214" spans="1:22" ht="15.5" x14ac:dyDescent="0.35">
      <c r="A214" s="64">
        <v>2020</v>
      </c>
      <c r="B214" s="64">
        <v>4</v>
      </c>
      <c r="C214" s="65">
        <v>44105</v>
      </c>
      <c r="D214" s="65">
        <v>44196</v>
      </c>
      <c r="E214" s="66">
        <v>0</v>
      </c>
      <c r="F214" s="66">
        <v>0</v>
      </c>
      <c r="G214" s="66">
        <v>0</v>
      </c>
      <c r="H214" s="66">
        <v>0</v>
      </c>
      <c r="I214" s="67">
        <v>0</v>
      </c>
      <c r="J214" s="66">
        <v>0</v>
      </c>
      <c r="K214" s="66">
        <v>0</v>
      </c>
      <c r="L214" s="66">
        <v>0</v>
      </c>
      <c r="M214" s="66">
        <v>0</v>
      </c>
      <c r="N214" s="67">
        <v>0</v>
      </c>
      <c r="O214" s="68">
        <v>0</v>
      </c>
      <c r="P214" s="69">
        <v>0</v>
      </c>
      <c r="Q214" s="116"/>
      <c r="R214" s="116"/>
      <c r="S214" s="116"/>
      <c r="T214" s="116"/>
      <c r="U214" s="116"/>
      <c r="V214" s="116"/>
    </row>
    <row r="215" spans="1:22" s="108" customFormat="1" ht="15.5" x14ac:dyDescent="0.35">
      <c r="A215" s="64">
        <v>2021</v>
      </c>
      <c r="B215" s="64">
        <v>1</v>
      </c>
      <c r="C215" s="65">
        <v>44197</v>
      </c>
      <c r="D215" s="65">
        <v>44286</v>
      </c>
      <c r="E215" s="66">
        <v>0</v>
      </c>
      <c r="F215" s="66">
        <v>0</v>
      </c>
      <c r="G215" s="66">
        <v>0</v>
      </c>
      <c r="H215" s="66">
        <v>0</v>
      </c>
      <c r="I215" s="67">
        <v>0</v>
      </c>
      <c r="J215" s="66">
        <v>0</v>
      </c>
      <c r="K215" s="66">
        <v>0</v>
      </c>
      <c r="L215" s="66">
        <v>0</v>
      </c>
      <c r="M215" s="66">
        <v>0</v>
      </c>
      <c r="N215" s="67">
        <v>0</v>
      </c>
      <c r="O215" s="68">
        <v>0</v>
      </c>
      <c r="P215" s="69">
        <v>0</v>
      </c>
      <c r="Q215" s="116"/>
      <c r="R215" s="116"/>
      <c r="S215" s="116"/>
      <c r="T215" s="116"/>
      <c r="U215" s="116"/>
      <c r="V215" s="116"/>
    </row>
    <row r="216" spans="1:22" ht="15.5" x14ac:dyDescent="0.35">
      <c r="A216" s="89">
        <v>2021</v>
      </c>
      <c r="B216" s="89">
        <v>2</v>
      </c>
      <c r="C216" s="90">
        <v>44287</v>
      </c>
      <c r="D216" s="90">
        <v>44377</v>
      </c>
      <c r="E216" s="100">
        <v>0</v>
      </c>
      <c r="F216" s="92">
        <v>0</v>
      </c>
      <c r="G216" s="92">
        <f>E216</f>
        <v>0</v>
      </c>
      <c r="H216" s="92">
        <f>SUM(F216+0)</f>
        <v>0</v>
      </c>
      <c r="I216" s="101">
        <v>0</v>
      </c>
      <c r="J216" s="102">
        <v>0</v>
      </c>
      <c r="K216" s="103">
        <v>0</v>
      </c>
      <c r="L216" s="104">
        <f>J216</f>
        <v>0</v>
      </c>
      <c r="M216" s="103">
        <f>SUM(K216+0)</f>
        <v>0</v>
      </c>
      <c r="N216" s="105">
        <v>0</v>
      </c>
      <c r="O216" s="106">
        <v>0</v>
      </c>
      <c r="P216" s="107">
        <v>0</v>
      </c>
      <c r="Q216" s="116"/>
      <c r="R216" s="116"/>
      <c r="S216" s="116"/>
      <c r="T216" s="116"/>
      <c r="U216" s="116"/>
      <c r="V216" s="116"/>
    </row>
    <row r="217" spans="1:22" ht="15.5" x14ac:dyDescent="0.35">
      <c r="A217" s="64">
        <v>2021</v>
      </c>
      <c r="B217" s="64">
        <v>3</v>
      </c>
      <c r="C217" s="65">
        <v>44378</v>
      </c>
      <c r="D217" s="65">
        <v>44469</v>
      </c>
      <c r="E217" s="72">
        <v>0</v>
      </c>
      <c r="F217" s="73"/>
      <c r="G217" s="73">
        <f t="shared" ref="G217:G218" si="112">G216+E217</f>
        <v>0</v>
      </c>
      <c r="H217" s="73">
        <f t="shared" ref="H217:H221" si="113">SUM(H216+F217)</f>
        <v>0</v>
      </c>
      <c r="I217" s="74">
        <v>0</v>
      </c>
      <c r="J217" s="75"/>
      <c r="K217" s="76"/>
      <c r="L217" s="76">
        <f>L216+J217</f>
        <v>0</v>
      </c>
      <c r="M217" s="76">
        <f>SUM(M216+K217)</f>
        <v>0</v>
      </c>
      <c r="N217" s="78">
        <v>0</v>
      </c>
      <c r="O217" s="68">
        <v>0</v>
      </c>
      <c r="P217" s="69">
        <v>0</v>
      </c>
      <c r="Q217" s="116"/>
      <c r="R217" s="116"/>
      <c r="S217" s="116"/>
      <c r="T217" s="116"/>
      <c r="U217" s="116"/>
      <c r="V217" s="116"/>
    </row>
    <row r="218" spans="1:22" ht="15.5" x14ac:dyDescent="0.35">
      <c r="A218" s="64">
        <v>2022</v>
      </c>
      <c r="B218" s="64">
        <v>4</v>
      </c>
      <c r="C218" s="65">
        <v>44470</v>
      </c>
      <c r="D218" s="65">
        <v>44561</v>
      </c>
      <c r="E218" s="72">
        <v>0</v>
      </c>
      <c r="F218" s="73">
        <v>0</v>
      </c>
      <c r="G218" s="73">
        <f t="shared" si="112"/>
        <v>0</v>
      </c>
      <c r="H218" s="73">
        <f t="shared" si="113"/>
        <v>0</v>
      </c>
      <c r="I218" s="74">
        <v>0</v>
      </c>
      <c r="J218" s="75">
        <v>0</v>
      </c>
      <c r="K218" s="76"/>
      <c r="L218" s="76">
        <f t="shared" ref="L218:L221" si="114">L217+J218</f>
        <v>0</v>
      </c>
      <c r="M218" s="76">
        <f t="shared" ref="M218:M220" si="115">SUM(M217+K218)</f>
        <v>0</v>
      </c>
      <c r="N218" s="78">
        <v>0</v>
      </c>
      <c r="O218" s="68">
        <v>0</v>
      </c>
      <c r="P218" s="69">
        <v>0</v>
      </c>
      <c r="Q218" s="116"/>
      <c r="R218" s="116"/>
      <c r="S218" s="116"/>
      <c r="T218" s="116"/>
      <c r="U218" s="116"/>
      <c r="V218" s="116"/>
    </row>
    <row r="219" spans="1:22" ht="15.5" x14ac:dyDescent="0.35">
      <c r="A219" s="64">
        <v>2022</v>
      </c>
      <c r="B219" s="64">
        <v>1</v>
      </c>
      <c r="C219" s="65">
        <v>44562</v>
      </c>
      <c r="D219" s="65">
        <v>44651</v>
      </c>
      <c r="E219" s="72">
        <v>0</v>
      </c>
      <c r="F219" s="73">
        <v>0</v>
      </c>
      <c r="G219" s="73">
        <f>G218+E219</f>
        <v>0</v>
      </c>
      <c r="H219" s="73">
        <f t="shared" si="113"/>
        <v>0</v>
      </c>
      <c r="I219" s="74">
        <v>0</v>
      </c>
      <c r="J219" s="75">
        <v>0</v>
      </c>
      <c r="K219" s="76"/>
      <c r="L219" s="76">
        <f t="shared" si="114"/>
        <v>0</v>
      </c>
      <c r="M219" s="76">
        <f t="shared" si="115"/>
        <v>0</v>
      </c>
      <c r="N219" s="78">
        <v>0</v>
      </c>
      <c r="O219" s="68">
        <v>0</v>
      </c>
      <c r="P219" s="69">
        <v>0</v>
      </c>
      <c r="Q219" s="116"/>
      <c r="R219" s="116"/>
      <c r="S219" s="116"/>
      <c r="T219" s="116"/>
      <c r="U219" s="116"/>
      <c r="V219" s="116"/>
    </row>
    <row r="220" spans="1:22" ht="15.5" x14ac:dyDescent="0.35">
      <c r="A220" s="64">
        <v>2022</v>
      </c>
      <c r="B220" s="64">
        <v>2</v>
      </c>
      <c r="C220" s="65">
        <v>44652</v>
      </c>
      <c r="D220" s="65">
        <v>44742</v>
      </c>
      <c r="E220" s="72">
        <v>0</v>
      </c>
      <c r="F220" s="73">
        <v>0</v>
      </c>
      <c r="G220" s="73">
        <f t="shared" ref="G220:G221" si="116">G219+E220</f>
        <v>0</v>
      </c>
      <c r="H220" s="73">
        <f t="shared" si="113"/>
        <v>0</v>
      </c>
      <c r="I220" s="74">
        <v>0</v>
      </c>
      <c r="J220" s="75">
        <v>0</v>
      </c>
      <c r="K220" s="76"/>
      <c r="L220" s="76">
        <f t="shared" si="114"/>
        <v>0</v>
      </c>
      <c r="M220" s="76">
        <f t="shared" si="115"/>
        <v>0</v>
      </c>
      <c r="N220" s="78">
        <v>0</v>
      </c>
      <c r="O220" s="68">
        <v>0</v>
      </c>
      <c r="P220" s="69">
        <v>0</v>
      </c>
      <c r="Q220" s="116"/>
      <c r="R220" s="116"/>
      <c r="S220" s="116"/>
      <c r="T220" s="116"/>
      <c r="U220" s="116"/>
      <c r="V220" s="116"/>
    </row>
    <row r="221" spans="1:22" ht="15.5" x14ac:dyDescent="0.35">
      <c r="A221" s="64">
        <v>2022</v>
      </c>
      <c r="B221" s="64">
        <v>3</v>
      </c>
      <c r="C221" s="65">
        <v>44743</v>
      </c>
      <c r="D221" s="65">
        <v>44834</v>
      </c>
      <c r="E221" s="72">
        <v>0</v>
      </c>
      <c r="F221" s="73">
        <v>0</v>
      </c>
      <c r="G221" s="73">
        <f t="shared" si="116"/>
        <v>0</v>
      </c>
      <c r="H221" s="73">
        <f t="shared" si="113"/>
        <v>0</v>
      </c>
      <c r="I221" s="74">
        <v>0</v>
      </c>
      <c r="J221" s="75">
        <v>0</v>
      </c>
      <c r="K221" s="76"/>
      <c r="L221" s="76">
        <f t="shared" si="114"/>
        <v>0</v>
      </c>
      <c r="M221" s="76">
        <f>SUM(M220+K221)</f>
        <v>0</v>
      </c>
      <c r="N221" s="78">
        <v>0</v>
      </c>
      <c r="O221" s="68">
        <v>0</v>
      </c>
      <c r="P221" s="69">
        <v>0</v>
      </c>
      <c r="Q221" s="116"/>
      <c r="R221" s="116"/>
      <c r="S221" s="116"/>
      <c r="T221" s="116"/>
      <c r="U221" s="116"/>
      <c r="V221" s="116"/>
    </row>
    <row r="222" spans="1:22" ht="15.5" x14ac:dyDescent="0.35">
      <c r="A222" s="64">
        <v>2022</v>
      </c>
      <c r="B222" s="64">
        <v>4</v>
      </c>
      <c r="C222" s="65">
        <v>44835</v>
      </c>
      <c r="D222" s="65">
        <v>44926</v>
      </c>
      <c r="E222" s="72">
        <v>0</v>
      </c>
      <c r="F222" s="73">
        <v>0</v>
      </c>
      <c r="G222" s="73">
        <f>G221+E222</f>
        <v>0</v>
      </c>
      <c r="H222" s="73">
        <f>SUM(H221+F222)</f>
        <v>0</v>
      </c>
      <c r="I222" s="74">
        <v>0</v>
      </c>
      <c r="J222" s="75">
        <v>0</v>
      </c>
      <c r="K222" s="76"/>
      <c r="L222" s="76">
        <f>L221+J222</f>
        <v>0</v>
      </c>
      <c r="M222" s="76">
        <f>SUM(M221+K222)</f>
        <v>0</v>
      </c>
      <c r="N222" s="78">
        <v>0</v>
      </c>
      <c r="O222" s="68">
        <v>0</v>
      </c>
      <c r="P222" s="69">
        <v>0</v>
      </c>
      <c r="Q222" s="116"/>
      <c r="R222" s="116"/>
      <c r="S222" s="116"/>
      <c r="T222" s="116"/>
      <c r="U222" s="116"/>
      <c r="V222" s="116"/>
    </row>
    <row r="223" spans="1:22" ht="15.5" x14ac:dyDescent="0.35">
      <c r="A223" s="64">
        <v>2023</v>
      </c>
      <c r="B223" s="64">
        <v>1</v>
      </c>
      <c r="C223" s="65">
        <v>44927</v>
      </c>
      <c r="D223" s="65">
        <v>45016</v>
      </c>
      <c r="E223" s="72"/>
      <c r="F223" s="73">
        <v>0</v>
      </c>
      <c r="G223" s="73">
        <f t="shared" ref="G223:G237" si="117">G222+E223</f>
        <v>0</v>
      </c>
      <c r="H223" s="73">
        <f t="shared" ref="H223:H236" si="118">SUM(H222+F223)</f>
        <v>0</v>
      </c>
      <c r="I223" s="74">
        <v>0</v>
      </c>
      <c r="J223" s="75">
        <v>0</v>
      </c>
      <c r="K223" s="76"/>
      <c r="L223" s="76">
        <f>L222+J223</f>
        <v>0</v>
      </c>
      <c r="M223" s="76">
        <f t="shared" ref="M223:M237" si="119">SUM(M222+K223)</f>
        <v>0</v>
      </c>
      <c r="N223" s="78">
        <v>0</v>
      </c>
      <c r="O223" s="68">
        <v>0</v>
      </c>
      <c r="P223" s="69">
        <v>0</v>
      </c>
      <c r="Q223" s="116"/>
      <c r="R223" s="116"/>
      <c r="S223" s="116"/>
      <c r="T223" s="116"/>
      <c r="U223" s="116"/>
      <c r="V223" s="116"/>
    </row>
    <row r="224" spans="1:22" ht="15.5" x14ac:dyDescent="0.35">
      <c r="A224" s="64">
        <v>2023</v>
      </c>
      <c r="B224" s="64">
        <v>2</v>
      </c>
      <c r="C224" s="65">
        <v>45017</v>
      </c>
      <c r="D224" s="65">
        <v>45107</v>
      </c>
      <c r="E224" s="72">
        <v>0</v>
      </c>
      <c r="F224" s="73">
        <v>0</v>
      </c>
      <c r="G224" s="73">
        <f t="shared" si="117"/>
        <v>0</v>
      </c>
      <c r="H224" s="73">
        <f t="shared" si="118"/>
        <v>0</v>
      </c>
      <c r="I224" s="74">
        <v>0</v>
      </c>
      <c r="J224" s="75">
        <v>0</v>
      </c>
      <c r="K224" s="76"/>
      <c r="L224" s="76">
        <f t="shared" ref="L224" si="120">L223+J224</f>
        <v>0</v>
      </c>
      <c r="M224" s="76">
        <f t="shared" si="119"/>
        <v>0</v>
      </c>
      <c r="N224" s="78">
        <v>0</v>
      </c>
      <c r="O224" s="68">
        <v>0</v>
      </c>
      <c r="P224" s="69">
        <v>0</v>
      </c>
      <c r="Q224" s="116"/>
      <c r="R224" s="116"/>
      <c r="S224" s="116"/>
      <c r="T224" s="116"/>
      <c r="U224" s="116"/>
      <c r="V224" s="116"/>
    </row>
    <row r="225" spans="1:22" ht="15.5" x14ac:dyDescent="0.35">
      <c r="A225" s="64">
        <v>2023</v>
      </c>
      <c r="B225" s="64">
        <v>3</v>
      </c>
      <c r="C225" s="65">
        <v>45108</v>
      </c>
      <c r="D225" s="65">
        <v>45199</v>
      </c>
      <c r="E225" s="72">
        <f>$E$238/7</f>
        <v>77643.71428571429</v>
      </c>
      <c r="F225" s="73">
        <v>0</v>
      </c>
      <c r="G225" s="73">
        <f t="shared" si="117"/>
        <v>77643.71428571429</v>
      </c>
      <c r="H225" s="73">
        <f t="shared" si="118"/>
        <v>0</v>
      </c>
      <c r="I225" s="74">
        <f t="shared" ref="I225:I234" si="121">H225/G225</f>
        <v>0</v>
      </c>
      <c r="J225" s="75">
        <f>$J$238/7</f>
        <v>2857.1428571428573</v>
      </c>
      <c r="K225" s="76"/>
      <c r="L225" s="76">
        <f>L224+J225</f>
        <v>2857.1428571428573</v>
      </c>
      <c r="M225" s="76">
        <f t="shared" si="119"/>
        <v>0</v>
      </c>
      <c r="N225" s="78">
        <f t="shared" ref="N225:N237" si="122">M225/L225</f>
        <v>0</v>
      </c>
      <c r="O225" s="68">
        <v>0</v>
      </c>
      <c r="P225" s="69">
        <v>0</v>
      </c>
      <c r="Q225" s="116"/>
      <c r="R225" s="116"/>
      <c r="S225" s="116"/>
      <c r="T225" s="116"/>
      <c r="U225" s="116"/>
      <c r="V225" s="116"/>
    </row>
    <row r="226" spans="1:22" ht="15.5" x14ac:dyDescent="0.35">
      <c r="A226" s="64">
        <v>2023</v>
      </c>
      <c r="B226" s="64">
        <v>4</v>
      </c>
      <c r="C226" s="65">
        <v>45200</v>
      </c>
      <c r="D226" s="65">
        <v>45291</v>
      </c>
      <c r="E226" s="72">
        <f t="shared" ref="E226:E231" si="123">$E$238/7</f>
        <v>77643.71428571429</v>
      </c>
      <c r="F226" s="73">
        <v>489155.4</v>
      </c>
      <c r="G226" s="73">
        <f t="shared" si="117"/>
        <v>155287.42857142858</v>
      </c>
      <c r="H226" s="73">
        <f t="shared" si="118"/>
        <v>489155.4</v>
      </c>
      <c r="I226" s="74">
        <f t="shared" si="121"/>
        <v>3.15</v>
      </c>
      <c r="J226" s="75">
        <f t="shared" ref="J226:J231" si="124">$J$238/7</f>
        <v>2857.1428571428573</v>
      </c>
      <c r="K226" s="76">
        <v>5979.17</v>
      </c>
      <c r="L226" s="76">
        <f t="shared" ref="L226:L237" si="125">L225+J226</f>
        <v>5714.2857142857147</v>
      </c>
      <c r="M226" s="76">
        <f t="shared" si="119"/>
        <v>5979.17</v>
      </c>
      <c r="N226" s="78">
        <f t="shared" si="122"/>
        <v>1.0463547499999999</v>
      </c>
      <c r="O226" s="68">
        <v>0</v>
      </c>
      <c r="P226" s="69">
        <v>0</v>
      </c>
      <c r="Q226" s="116"/>
      <c r="R226" s="116"/>
      <c r="S226" s="116"/>
      <c r="T226" s="116"/>
      <c r="U226" s="116"/>
      <c r="V226" s="116"/>
    </row>
    <row r="227" spans="1:22" ht="15.5" x14ac:dyDescent="0.35">
      <c r="A227" s="64">
        <v>2024</v>
      </c>
      <c r="B227" s="64">
        <v>1</v>
      </c>
      <c r="C227" s="65">
        <v>45292</v>
      </c>
      <c r="D227" s="65">
        <v>45382</v>
      </c>
      <c r="E227" s="72">
        <f t="shared" si="123"/>
        <v>77643.71428571429</v>
      </c>
      <c r="F227" s="73">
        <v>0</v>
      </c>
      <c r="G227" s="73">
        <f t="shared" si="117"/>
        <v>232931.14285714287</v>
      </c>
      <c r="H227" s="73">
        <f t="shared" si="118"/>
        <v>489155.4</v>
      </c>
      <c r="I227" s="74">
        <f t="shared" si="121"/>
        <v>2.1</v>
      </c>
      <c r="J227" s="75">
        <f t="shared" si="124"/>
        <v>2857.1428571428573</v>
      </c>
      <c r="K227" s="76">
        <v>3505</v>
      </c>
      <c r="L227" s="76">
        <f t="shared" si="125"/>
        <v>8571.4285714285725</v>
      </c>
      <c r="M227" s="76">
        <f t="shared" si="119"/>
        <v>9484.17</v>
      </c>
      <c r="N227" s="78">
        <f t="shared" si="122"/>
        <v>1.1064864999999999</v>
      </c>
      <c r="O227" s="68">
        <v>0</v>
      </c>
      <c r="P227" s="69">
        <v>1</v>
      </c>
      <c r="Q227" s="116"/>
      <c r="R227" s="116"/>
      <c r="S227" s="116"/>
      <c r="T227" s="116"/>
      <c r="U227" s="116"/>
      <c r="V227" s="116"/>
    </row>
    <row r="228" spans="1:22" ht="15.5" x14ac:dyDescent="0.35">
      <c r="A228" s="64">
        <v>2024</v>
      </c>
      <c r="B228" s="64">
        <v>2</v>
      </c>
      <c r="C228" s="65">
        <v>45383</v>
      </c>
      <c r="D228" s="65">
        <v>45473</v>
      </c>
      <c r="E228" s="72">
        <f t="shared" si="123"/>
        <v>77643.71428571429</v>
      </c>
      <c r="F228" s="73">
        <v>0</v>
      </c>
      <c r="G228" s="73">
        <f t="shared" si="117"/>
        <v>310574.85714285716</v>
      </c>
      <c r="H228" s="73">
        <f t="shared" si="118"/>
        <v>489155.4</v>
      </c>
      <c r="I228" s="74">
        <f t="shared" si="121"/>
        <v>1.575</v>
      </c>
      <c r="J228" s="75">
        <f t="shared" si="124"/>
        <v>2857.1428571428573</v>
      </c>
      <c r="K228" s="76"/>
      <c r="L228" s="76">
        <f t="shared" si="125"/>
        <v>11428.571428571429</v>
      </c>
      <c r="M228" s="76">
        <f t="shared" si="119"/>
        <v>9484.17</v>
      </c>
      <c r="N228" s="78">
        <f t="shared" si="122"/>
        <v>0.82986487499999995</v>
      </c>
      <c r="O228" s="68">
        <v>0</v>
      </c>
      <c r="P228" s="69">
        <v>0</v>
      </c>
      <c r="Q228" s="116"/>
      <c r="R228" s="116"/>
      <c r="S228" s="116"/>
      <c r="T228" s="116"/>
      <c r="U228" s="116"/>
      <c r="V228" s="116"/>
    </row>
    <row r="229" spans="1:22" ht="15.5" x14ac:dyDescent="0.35">
      <c r="A229" s="64">
        <v>2024</v>
      </c>
      <c r="B229" s="64">
        <v>3</v>
      </c>
      <c r="C229" s="65">
        <v>45474</v>
      </c>
      <c r="D229" s="65">
        <v>45565</v>
      </c>
      <c r="E229" s="72">
        <f t="shared" si="123"/>
        <v>77643.71428571429</v>
      </c>
      <c r="F229" s="73">
        <v>0</v>
      </c>
      <c r="G229" s="73">
        <f t="shared" si="117"/>
        <v>388218.57142857148</v>
      </c>
      <c r="H229" s="73">
        <f t="shared" si="118"/>
        <v>489155.4</v>
      </c>
      <c r="I229" s="128">
        <f t="shared" si="121"/>
        <v>1.26</v>
      </c>
      <c r="J229" s="75">
        <f t="shared" si="124"/>
        <v>2857.1428571428573</v>
      </c>
      <c r="K229" s="77">
        <v>0</v>
      </c>
      <c r="L229" s="77">
        <f t="shared" si="125"/>
        <v>14285.714285714286</v>
      </c>
      <c r="M229" s="77">
        <f t="shared" si="119"/>
        <v>9484.17</v>
      </c>
      <c r="N229" s="78">
        <f t="shared" si="122"/>
        <v>0.66389189999999998</v>
      </c>
      <c r="O229" s="131">
        <v>0</v>
      </c>
      <c r="P229" s="130">
        <v>0</v>
      </c>
      <c r="Q229" s="116"/>
      <c r="R229" s="116"/>
      <c r="S229" s="116"/>
      <c r="T229" s="116"/>
      <c r="U229" s="116"/>
      <c r="V229" s="116"/>
    </row>
    <row r="230" spans="1:22" ht="15.5" x14ac:dyDescent="0.35">
      <c r="A230" s="1">
        <v>2024</v>
      </c>
      <c r="B230" s="1">
        <v>4</v>
      </c>
      <c r="C230" s="2">
        <v>45566</v>
      </c>
      <c r="D230" s="2">
        <v>45657</v>
      </c>
      <c r="E230" s="21">
        <f t="shared" si="123"/>
        <v>77643.71428571429</v>
      </c>
      <c r="F230" s="18"/>
      <c r="G230" s="18">
        <f t="shared" si="117"/>
        <v>465862.2857142858</v>
      </c>
      <c r="H230" s="18">
        <f t="shared" si="118"/>
        <v>489155.4</v>
      </c>
      <c r="I230" s="24">
        <f t="shared" si="121"/>
        <v>1.0499999999999998</v>
      </c>
      <c r="J230" s="10">
        <f t="shared" si="124"/>
        <v>2857.1428571428573</v>
      </c>
      <c r="K230" s="4"/>
      <c r="L230" s="4">
        <f t="shared" si="125"/>
        <v>17142.857142857145</v>
      </c>
      <c r="M230" s="4">
        <f t="shared" si="119"/>
        <v>9484.17</v>
      </c>
      <c r="N230" s="16">
        <f t="shared" si="122"/>
        <v>0.55324324999999996</v>
      </c>
      <c r="O230" s="14">
        <v>0</v>
      </c>
      <c r="P230" s="3"/>
      <c r="Q230" s="116"/>
      <c r="R230" s="116"/>
      <c r="S230" s="116"/>
      <c r="T230" s="116"/>
      <c r="U230" s="116"/>
      <c r="V230" s="116"/>
    </row>
    <row r="231" spans="1:22" ht="15.5" x14ac:dyDescent="0.35">
      <c r="A231" s="1">
        <v>2025</v>
      </c>
      <c r="B231" s="1">
        <v>1</v>
      </c>
      <c r="C231" s="2">
        <v>45658</v>
      </c>
      <c r="D231" s="2">
        <v>45747</v>
      </c>
      <c r="E231" s="21">
        <f t="shared" si="123"/>
        <v>77643.71428571429</v>
      </c>
      <c r="F231" s="18"/>
      <c r="G231" s="18">
        <f t="shared" si="117"/>
        <v>543506.00000000012</v>
      </c>
      <c r="H231" s="18">
        <f t="shared" si="118"/>
        <v>489155.4</v>
      </c>
      <c r="I231" s="24">
        <f t="shared" si="121"/>
        <v>0.8999999999999998</v>
      </c>
      <c r="J231" s="10">
        <f t="shared" si="124"/>
        <v>2857.1428571428573</v>
      </c>
      <c r="K231" s="4"/>
      <c r="L231" s="4">
        <f t="shared" si="125"/>
        <v>20000.000000000004</v>
      </c>
      <c r="M231" s="4">
        <f t="shared" si="119"/>
        <v>9484.17</v>
      </c>
      <c r="N231" s="16">
        <f t="shared" si="122"/>
        <v>0.47420849999999992</v>
      </c>
      <c r="O231" s="14">
        <v>4</v>
      </c>
      <c r="P231" s="3"/>
      <c r="Q231" s="116"/>
      <c r="R231" s="116"/>
      <c r="S231" s="116"/>
      <c r="T231" s="116"/>
      <c r="U231" s="116"/>
      <c r="V231" s="116"/>
    </row>
    <row r="232" spans="1:22" ht="15.5" x14ac:dyDescent="0.35">
      <c r="A232" s="1">
        <v>2025</v>
      </c>
      <c r="B232" s="1">
        <v>2</v>
      </c>
      <c r="C232" s="2">
        <v>45748</v>
      </c>
      <c r="D232" s="2">
        <v>45838</v>
      </c>
      <c r="E232" s="22">
        <v>0</v>
      </c>
      <c r="F232" s="18"/>
      <c r="G232" s="18">
        <f t="shared" si="117"/>
        <v>543506.00000000012</v>
      </c>
      <c r="H232" s="18">
        <f t="shared" si="118"/>
        <v>489155.4</v>
      </c>
      <c r="I232" s="24">
        <f t="shared" si="121"/>
        <v>0.8999999999999998</v>
      </c>
      <c r="J232" s="11">
        <v>0</v>
      </c>
      <c r="K232" s="4"/>
      <c r="L232" s="4">
        <f t="shared" si="125"/>
        <v>20000.000000000004</v>
      </c>
      <c r="M232" s="4">
        <f t="shared" si="119"/>
        <v>9484.17</v>
      </c>
      <c r="N232" s="16">
        <f t="shared" si="122"/>
        <v>0.47420849999999992</v>
      </c>
      <c r="O232" s="14"/>
      <c r="P232" s="3"/>
      <c r="Q232" s="116"/>
      <c r="R232" s="116"/>
      <c r="S232" s="116"/>
      <c r="T232" s="116"/>
      <c r="U232" s="116"/>
      <c r="V232" s="116"/>
    </row>
    <row r="233" spans="1:22" ht="15.5" x14ac:dyDescent="0.35">
      <c r="A233" s="1">
        <v>2025</v>
      </c>
      <c r="B233" s="1">
        <v>3</v>
      </c>
      <c r="C233" s="2">
        <v>45839</v>
      </c>
      <c r="D233" s="2">
        <v>45930</v>
      </c>
      <c r="E233" s="22">
        <v>0</v>
      </c>
      <c r="F233" s="18"/>
      <c r="G233" s="18">
        <f t="shared" si="117"/>
        <v>543506.00000000012</v>
      </c>
      <c r="H233" s="18">
        <f t="shared" si="118"/>
        <v>489155.4</v>
      </c>
      <c r="I233" s="24">
        <f t="shared" si="121"/>
        <v>0.8999999999999998</v>
      </c>
      <c r="J233" s="11">
        <v>0</v>
      </c>
      <c r="K233" s="4"/>
      <c r="L233" s="4">
        <f t="shared" si="125"/>
        <v>20000.000000000004</v>
      </c>
      <c r="M233" s="4">
        <f t="shared" si="119"/>
        <v>9484.17</v>
      </c>
      <c r="N233" s="16">
        <f t="shared" si="122"/>
        <v>0.47420849999999992</v>
      </c>
      <c r="O233" s="14"/>
      <c r="P233" s="3"/>
      <c r="Q233" s="116"/>
      <c r="R233" s="116"/>
      <c r="S233" s="116"/>
      <c r="T233" s="116"/>
      <c r="U233" s="116"/>
      <c r="V233" s="116"/>
    </row>
    <row r="234" spans="1:22" ht="15.5" x14ac:dyDescent="0.35">
      <c r="A234" s="1">
        <v>2025</v>
      </c>
      <c r="B234" s="1">
        <v>4</v>
      </c>
      <c r="C234" s="2">
        <v>45931</v>
      </c>
      <c r="D234" s="2">
        <v>46022</v>
      </c>
      <c r="E234" s="22">
        <v>0</v>
      </c>
      <c r="F234" s="18"/>
      <c r="G234" s="18">
        <f t="shared" si="117"/>
        <v>543506.00000000012</v>
      </c>
      <c r="H234" s="18">
        <f t="shared" si="118"/>
        <v>489155.4</v>
      </c>
      <c r="I234" s="24">
        <f t="shared" si="121"/>
        <v>0.8999999999999998</v>
      </c>
      <c r="J234" s="11">
        <v>0</v>
      </c>
      <c r="K234" s="4"/>
      <c r="L234" s="4">
        <f t="shared" si="125"/>
        <v>20000.000000000004</v>
      </c>
      <c r="M234" s="4">
        <f t="shared" si="119"/>
        <v>9484.17</v>
      </c>
      <c r="N234" s="16">
        <f t="shared" si="122"/>
        <v>0.47420849999999992</v>
      </c>
      <c r="O234" s="14"/>
      <c r="P234" s="3"/>
      <c r="Q234" s="116"/>
      <c r="R234" s="116"/>
      <c r="S234" s="116"/>
      <c r="T234" s="116"/>
      <c r="U234" s="116"/>
      <c r="V234" s="116"/>
    </row>
    <row r="235" spans="1:22" ht="15.5" x14ac:dyDescent="0.35">
      <c r="A235" s="1">
        <v>2026</v>
      </c>
      <c r="B235" s="1">
        <v>1</v>
      </c>
      <c r="C235" s="2">
        <v>46023</v>
      </c>
      <c r="D235" s="2">
        <v>46112</v>
      </c>
      <c r="E235" s="22">
        <v>0</v>
      </c>
      <c r="F235" s="18"/>
      <c r="G235" s="18">
        <f t="shared" si="117"/>
        <v>543506.00000000012</v>
      </c>
      <c r="H235" s="18">
        <f t="shared" si="118"/>
        <v>489155.4</v>
      </c>
      <c r="I235" s="24">
        <f>H235/G235</f>
        <v>0.8999999999999998</v>
      </c>
      <c r="J235" s="11">
        <v>0</v>
      </c>
      <c r="K235" s="4"/>
      <c r="L235" s="4">
        <f t="shared" si="125"/>
        <v>20000.000000000004</v>
      </c>
      <c r="M235" s="4">
        <f t="shared" si="119"/>
        <v>9484.17</v>
      </c>
      <c r="N235" s="16">
        <f t="shared" si="122"/>
        <v>0.47420849999999992</v>
      </c>
      <c r="O235" s="14"/>
      <c r="P235" s="3"/>
      <c r="Q235" s="116"/>
      <c r="R235" s="116"/>
      <c r="S235" s="116"/>
      <c r="T235" s="116"/>
      <c r="U235" s="116"/>
      <c r="V235" s="116"/>
    </row>
    <row r="236" spans="1:22" ht="15.5" x14ac:dyDescent="0.35">
      <c r="A236" s="1">
        <v>2026</v>
      </c>
      <c r="B236" s="1">
        <v>2</v>
      </c>
      <c r="C236" s="2">
        <v>46113</v>
      </c>
      <c r="D236" s="2">
        <v>46203</v>
      </c>
      <c r="E236" s="22">
        <v>0</v>
      </c>
      <c r="F236" s="18"/>
      <c r="G236" s="18">
        <f t="shared" si="117"/>
        <v>543506.00000000012</v>
      </c>
      <c r="H236" s="18">
        <f t="shared" si="118"/>
        <v>489155.4</v>
      </c>
      <c r="I236" s="24">
        <f t="shared" ref="I236:I237" si="126">H236/G236</f>
        <v>0.8999999999999998</v>
      </c>
      <c r="J236" s="11">
        <v>0</v>
      </c>
      <c r="K236" s="4"/>
      <c r="L236" s="4">
        <f t="shared" si="125"/>
        <v>20000.000000000004</v>
      </c>
      <c r="M236" s="4">
        <f t="shared" si="119"/>
        <v>9484.17</v>
      </c>
      <c r="N236" s="16">
        <f t="shared" si="122"/>
        <v>0.47420849999999992</v>
      </c>
      <c r="O236" s="14"/>
      <c r="P236" s="3"/>
      <c r="Q236" s="116"/>
      <c r="R236" s="116"/>
      <c r="S236" s="116"/>
      <c r="T236" s="116"/>
      <c r="U236" s="116"/>
      <c r="V236" s="116"/>
    </row>
    <row r="237" spans="1:22" ht="15.5" x14ac:dyDescent="0.35">
      <c r="A237" s="1">
        <v>2026</v>
      </c>
      <c r="B237" s="1">
        <v>3</v>
      </c>
      <c r="C237" s="2">
        <v>46204</v>
      </c>
      <c r="D237" s="2">
        <v>46295</v>
      </c>
      <c r="E237" s="22">
        <v>0</v>
      </c>
      <c r="F237" s="18"/>
      <c r="G237" s="18">
        <f t="shared" si="117"/>
        <v>543506.00000000012</v>
      </c>
      <c r="H237" s="18">
        <f>SUM(H236+F237)</f>
        <v>489155.4</v>
      </c>
      <c r="I237" s="24">
        <f t="shared" si="126"/>
        <v>0.8999999999999998</v>
      </c>
      <c r="J237" s="11">
        <v>0</v>
      </c>
      <c r="K237" s="15"/>
      <c r="L237" s="15">
        <f t="shared" si="125"/>
        <v>20000.000000000004</v>
      </c>
      <c r="M237" s="15">
        <f t="shared" si="119"/>
        <v>9484.17</v>
      </c>
      <c r="N237" s="16">
        <f t="shared" si="122"/>
        <v>0.47420849999999992</v>
      </c>
      <c r="O237" s="14"/>
      <c r="P237" s="3"/>
      <c r="Q237" s="116"/>
      <c r="R237" s="116"/>
      <c r="S237" s="116"/>
      <c r="T237" s="116"/>
      <c r="U237" s="116"/>
      <c r="V237" s="116"/>
    </row>
    <row r="238" spans="1:22" ht="15" thickBot="1" x14ac:dyDescent="0.4">
      <c r="A238" s="36" t="s">
        <v>12</v>
      </c>
      <c r="B238" s="36"/>
      <c r="C238" s="36"/>
      <c r="D238" s="37"/>
      <c r="E238" s="38">
        <f>489155.4+54350.6</f>
        <v>543506</v>
      </c>
      <c r="F238" s="34">
        <f>SUM(F214:F237)</f>
        <v>489155.4</v>
      </c>
      <c r="G238" s="34">
        <f>G237</f>
        <v>543506.00000000012</v>
      </c>
      <c r="H238" s="35">
        <f>H237</f>
        <v>489155.4</v>
      </c>
      <c r="I238" s="45">
        <f>H238/G238</f>
        <v>0.8999999999999998</v>
      </c>
      <c r="J238" s="39">
        <v>20000</v>
      </c>
      <c r="K238" s="46">
        <f>SUM(K214:K237)</f>
        <v>9484.17</v>
      </c>
      <c r="L238" s="40">
        <f>L237</f>
        <v>20000.000000000004</v>
      </c>
      <c r="M238" s="41">
        <f>M237</f>
        <v>9484.17</v>
      </c>
      <c r="N238" s="42">
        <f>M238/L238</f>
        <v>0.47420849999999992</v>
      </c>
      <c r="O238" s="43">
        <f>SUM(O214:O237)</f>
        <v>4</v>
      </c>
      <c r="P238" s="43">
        <f>SUM(P214:P237)</f>
        <v>1</v>
      </c>
    </row>
    <row r="239" spans="1:22" ht="15" thickTop="1" x14ac:dyDescent="0.35">
      <c r="E239" s="33">
        <f>E238+J238</f>
        <v>563506</v>
      </c>
    </row>
    <row r="241" spans="1:16" x14ac:dyDescent="0.35">
      <c r="A241" s="198" t="s">
        <v>86</v>
      </c>
      <c r="B241" s="198"/>
      <c r="C241" s="198"/>
      <c r="D241" s="198"/>
      <c r="E241" s="198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  <c r="P241" s="198"/>
    </row>
    <row r="242" spans="1:16" ht="15" thickBot="1" x14ac:dyDescent="0.4">
      <c r="A242" s="202" t="s">
        <v>0</v>
      </c>
      <c r="B242" s="204"/>
      <c r="C242" s="204"/>
      <c r="D242" s="204"/>
      <c r="E242" s="193" t="s">
        <v>19</v>
      </c>
      <c r="F242" s="193"/>
      <c r="G242" s="193"/>
      <c r="H242" s="193"/>
      <c r="I242" s="194"/>
      <c r="J242" s="195" t="s">
        <v>20</v>
      </c>
      <c r="K242" s="196"/>
      <c r="L242" s="196"/>
      <c r="M242" s="196"/>
      <c r="N242" s="197"/>
      <c r="O242" s="12"/>
      <c r="P242" s="6"/>
    </row>
    <row r="243" spans="1:16" ht="58.5" thickTop="1" x14ac:dyDescent="0.35">
      <c r="A243" s="7" t="s">
        <v>1</v>
      </c>
      <c r="B243" s="7" t="s">
        <v>2</v>
      </c>
      <c r="C243" s="7" t="s">
        <v>3</v>
      </c>
      <c r="D243" s="9" t="s">
        <v>9</v>
      </c>
      <c r="E243" s="19" t="s">
        <v>4</v>
      </c>
      <c r="F243" s="20" t="s">
        <v>6</v>
      </c>
      <c r="G243" s="20" t="s">
        <v>5</v>
      </c>
      <c r="H243" s="20" t="s">
        <v>7</v>
      </c>
      <c r="I243" s="23" t="s">
        <v>8</v>
      </c>
      <c r="J243" s="25" t="s">
        <v>4</v>
      </c>
      <c r="K243" s="26" t="s">
        <v>6</v>
      </c>
      <c r="L243" s="26" t="s">
        <v>5</v>
      </c>
      <c r="M243" s="26" t="s">
        <v>7</v>
      </c>
      <c r="N243" s="27" t="s">
        <v>8</v>
      </c>
      <c r="O243" s="13" t="s">
        <v>10</v>
      </c>
      <c r="P243" s="8" t="s">
        <v>11</v>
      </c>
    </row>
    <row r="244" spans="1:16" ht="15.5" x14ac:dyDescent="0.35">
      <c r="A244" s="64">
        <v>2020</v>
      </c>
      <c r="B244" s="64">
        <v>4</v>
      </c>
      <c r="C244" s="65">
        <v>44105</v>
      </c>
      <c r="D244" s="65">
        <v>44196</v>
      </c>
      <c r="E244" s="66">
        <v>0</v>
      </c>
      <c r="F244" s="66">
        <v>0</v>
      </c>
      <c r="G244" s="66">
        <v>0</v>
      </c>
      <c r="H244" s="66">
        <v>0</v>
      </c>
      <c r="I244" s="67">
        <v>0</v>
      </c>
      <c r="J244" s="66">
        <v>0</v>
      </c>
      <c r="K244" s="66">
        <v>0</v>
      </c>
      <c r="L244" s="66">
        <v>0</v>
      </c>
      <c r="M244" s="66">
        <v>0</v>
      </c>
      <c r="N244" s="67">
        <v>0</v>
      </c>
      <c r="O244" s="68">
        <v>0</v>
      </c>
      <c r="P244" s="69">
        <v>0</v>
      </c>
    </row>
    <row r="245" spans="1:16" ht="15.5" x14ac:dyDescent="0.35">
      <c r="A245" s="64">
        <v>2021</v>
      </c>
      <c r="B245" s="64">
        <v>1</v>
      </c>
      <c r="C245" s="65">
        <v>44197</v>
      </c>
      <c r="D245" s="65">
        <v>44286</v>
      </c>
      <c r="E245" s="66">
        <v>0</v>
      </c>
      <c r="F245" s="66">
        <v>0</v>
      </c>
      <c r="G245" s="66">
        <v>0</v>
      </c>
      <c r="H245" s="66">
        <v>0</v>
      </c>
      <c r="I245" s="67">
        <v>0</v>
      </c>
      <c r="J245" s="66">
        <v>0</v>
      </c>
      <c r="K245" s="66">
        <v>0</v>
      </c>
      <c r="L245" s="66">
        <v>0</v>
      </c>
      <c r="M245" s="66">
        <v>0</v>
      </c>
      <c r="N245" s="67">
        <v>0</v>
      </c>
      <c r="O245" s="68">
        <v>0</v>
      </c>
      <c r="P245" s="69">
        <v>0</v>
      </c>
    </row>
    <row r="246" spans="1:16" ht="15.5" x14ac:dyDescent="0.35">
      <c r="A246" s="89">
        <v>2021</v>
      </c>
      <c r="B246" s="89">
        <v>2</v>
      </c>
      <c r="C246" s="90">
        <v>44287</v>
      </c>
      <c r="D246" s="90">
        <v>44377</v>
      </c>
      <c r="E246" s="100">
        <v>0</v>
      </c>
      <c r="F246" s="92">
        <v>0</v>
      </c>
      <c r="G246" s="92">
        <f>E246</f>
        <v>0</v>
      </c>
      <c r="H246" s="92">
        <f>SUM(F246+0)</f>
        <v>0</v>
      </c>
      <c r="I246" s="101">
        <v>0</v>
      </c>
      <c r="J246" s="102">
        <v>0</v>
      </c>
      <c r="K246" s="103">
        <v>0</v>
      </c>
      <c r="L246" s="104">
        <f>J246</f>
        <v>0</v>
      </c>
      <c r="M246" s="103">
        <f>SUM(K246+0)</f>
        <v>0</v>
      </c>
      <c r="N246" s="105">
        <v>0</v>
      </c>
      <c r="O246" s="106">
        <v>0</v>
      </c>
      <c r="P246" s="107">
        <v>0</v>
      </c>
    </row>
    <row r="247" spans="1:16" ht="15.5" x14ac:dyDescent="0.35">
      <c r="A247" s="64">
        <v>2021</v>
      </c>
      <c r="B247" s="64">
        <v>3</v>
      </c>
      <c r="C247" s="65">
        <v>44378</v>
      </c>
      <c r="D247" s="65">
        <v>44469</v>
      </c>
      <c r="E247" s="72">
        <v>0</v>
      </c>
      <c r="F247" s="73"/>
      <c r="G247" s="73">
        <f t="shared" ref="G247:G248" si="127">G246+E247</f>
        <v>0</v>
      </c>
      <c r="H247" s="73">
        <f t="shared" ref="H247:H251" si="128">SUM(H246+F247)</f>
        <v>0</v>
      </c>
      <c r="I247" s="74">
        <v>0</v>
      </c>
      <c r="J247" s="75"/>
      <c r="K247" s="76"/>
      <c r="L247" s="76">
        <f>L246+J247</f>
        <v>0</v>
      </c>
      <c r="M247" s="76">
        <f>SUM(M246+K247)</f>
        <v>0</v>
      </c>
      <c r="N247" s="78">
        <v>0</v>
      </c>
      <c r="O247" s="68">
        <v>0</v>
      </c>
      <c r="P247" s="69"/>
    </row>
    <row r="248" spans="1:16" ht="15.5" x14ac:dyDescent="0.35">
      <c r="A248" s="64">
        <v>2022</v>
      </c>
      <c r="B248" s="64">
        <v>4</v>
      </c>
      <c r="C248" s="65">
        <v>44470</v>
      </c>
      <c r="D248" s="65">
        <v>44561</v>
      </c>
      <c r="E248" s="72">
        <v>0</v>
      </c>
      <c r="F248" s="73">
        <v>0</v>
      </c>
      <c r="G248" s="73">
        <f t="shared" si="127"/>
        <v>0</v>
      </c>
      <c r="H248" s="73">
        <f t="shared" si="128"/>
        <v>0</v>
      </c>
      <c r="I248" s="74">
        <v>0</v>
      </c>
      <c r="J248" s="75">
        <v>0</v>
      </c>
      <c r="K248" s="76">
        <v>0</v>
      </c>
      <c r="L248" s="76">
        <f t="shared" ref="L248:L251" si="129">L247+J248</f>
        <v>0</v>
      </c>
      <c r="M248" s="76">
        <f t="shared" ref="M248:M250" si="130">SUM(M247+K248)</f>
        <v>0</v>
      </c>
      <c r="N248" s="78">
        <v>0</v>
      </c>
      <c r="O248" s="68">
        <v>0</v>
      </c>
      <c r="P248" s="69">
        <v>0</v>
      </c>
    </row>
    <row r="249" spans="1:16" ht="15.5" x14ac:dyDescent="0.35">
      <c r="A249" s="64">
        <v>2022</v>
      </c>
      <c r="B249" s="64">
        <v>1</v>
      </c>
      <c r="C249" s="65">
        <v>44562</v>
      </c>
      <c r="D249" s="65">
        <v>44651</v>
      </c>
      <c r="E249" s="72">
        <v>0</v>
      </c>
      <c r="F249" s="73">
        <v>0</v>
      </c>
      <c r="G249" s="73">
        <f>G248+E249</f>
        <v>0</v>
      </c>
      <c r="H249" s="73">
        <f t="shared" si="128"/>
        <v>0</v>
      </c>
      <c r="I249" s="74">
        <v>0</v>
      </c>
      <c r="J249" s="75">
        <v>0</v>
      </c>
      <c r="K249" s="76">
        <v>0</v>
      </c>
      <c r="L249" s="76">
        <f t="shared" si="129"/>
        <v>0</v>
      </c>
      <c r="M249" s="76">
        <f t="shared" si="130"/>
        <v>0</v>
      </c>
      <c r="N249" s="78">
        <v>0</v>
      </c>
      <c r="O249" s="68">
        <v>0</v>
      </c>
      <c r="P249" s="69">
        <v>0</v>
      </c>
    </row>
    <row r="250" spans="1:16" ht="15.5" x14ac:dyDescent="0.35">
      <c r="A250" s="64">
        <v>2022</v>
      </c>
      <c r="B250" s="64">
        <v>2</v>
      </c>
      <c r="C250" s="65">
        <v>44652</v>
      </c>
      <c r="D250" s="65">
        <v>44742</v>
      </c>
      <c r="E250" s="72">
        <v>0</v>
      </c>
      <c r="F250" s="73">
        <v>0</v>
      </c>
      <c r="G250" s="73">
        <f t="shared" ref="G250:G251" si="131">G249+E250</f>
        <v>0</v>
      </c>
      <c r="H250" s="73">
        <f t="shared" si="128"/>
        <v>0</v>
      </c>
      <c r="I250" s="74">
        <v>0</v>
      </c>
      <c r="J250" s="75">
        <v>0</v>
      </c>
      <c r="K250" s="76">
        <v>0</v>
      </c>
      <c r="L250" s="76">
        <f t="shared" si="129"/>
        <v>0</v>
      </c>
      <c r="M250" s="76">
        <f t="shared" si="130"/>
        <v>0</v>
      </c>
      <c r="N250" s="78">
        <v>0</v>
      </c>
      <c r="O250" s="68">
        <v>0</v>
      </c>
      <c r="P250" s="69">
        <v>0</v>
      </c>
    </row>
    <row r="251" spans="1:16" ht="15.5" x14ac:dyDescent="0.35">
      <c r="A251" s="64">
        <v>2022</v>
      </c>
      <c r="B251" s="64">
        <v>3</v>
      </c>
      <c r="C251" s="65">
        <v>44743</v>
      </c>
      <c r="D251" s="65">
        <v>44834</v>
      </c>
      <c r="E251" s="72">
        <f>$E$268/9</f>
        <v>16666.666666666668</v>
      </c>
      <c r="F251" s="73">
        <v>0</v>
      </c>
      <c r="G251" s="73">
        <f t="shared" si="131"/>
        <v>16666.666666666668</v>
      </c>
      <c r="H251" s="73">
        <f t="shared" si="128"/>
        <v>0</v>
      </c>
      <c r="I251" s="74">
        <f t="shared" ref="I251:I264" si="132">H251/G251</f>
        <v>0</v>
      </c>
      <c r="J251" s="75">
        <f>$J$268/9</f>
        <v>1333.3333333333333</v>
      </c>
      <c r="K251" s="76">
        <v>0</v>
      </c>
      <c r="L251" s="76">
        <f t="shared" si="129"/>
        <v>1333.3333333333333</v>
      </c>
      <c r="M251" s="76">
        <f>SUM(M250+K251)</f>
        <v>0</v>
      </c>
      <c r="N251" s="78">
        <f t="shared" ref="N251" si="133">M251/L251</f>
        <v>0</v>
      </c>
      <c r="O251" s="68">
        <v>0</v>
      </c>
      <c r="P251" s="69">
        <v>0</v>
      </c>
    </row>
    <row r="252" spans="1:16" ht="15.5" x14ac:dyDescent="0.35">
      <c r="A252" s="64">
        <v>2022</v>
      </c>
      <c r="B252" s="64">
        <v>4</v>
      </c>
      <c r="C252" s="65">
        <v>44835</v>
      </c>
      <c r="D252" s="65">
        <v>44926</v>
      </c>
      <c r="E252" s="72">
        <f t="shared" ref="E252:E259" si="134">$E$268/9</f>
        <v>16666.666666666668</v>
      </c>
      <c r="F252" s="73">
        <v>2315</v>
      </c>
      <c r="G252" s="73">
        <f>G251+E252</f>
        <v>33333.333333333336</v>
      </c>
      <c r="H252" s="73">
        <f>SUM(H251+F252)</f>
        <v>2315</v>
      </c>
      <c r="I252" s="74">
        <f t="shared" si="132"/>
        <v>6.9449999999999998E-2</v>
      </c>
      <c r="J252" s="75">
        <f t="shared" ref="J252:J259" si="135">$J$268/9</f>
        <v>1333.3333333333333</v>
      </c>
      <c r="K252" s="76">
        <v>0</v>
      </c>
      <c r="L252" s="76">
        <f>L251+J252</f>
        <v>2666.6666666666665</v>
      </c>
      <c r="M252" s="76">
        <f>SUM(M251+K252)</f>
        <v>0</v>
      </c>
      <c r="N252" s="78">
        <f>M252/L252</f>
        <v>0</v>
      </c>
      <c r="O252" s="68">
        <v>0</v>
      </c>
      <c r="P252" s="69">
        <v>0</v>
      </c>
    </row>
    <row r="253" spans="1:16" ht="15.5" x14ac:dyDescent="0.35">
      <c r="A253" s="64">
        <v>2023</v>
      </c>
      <c r="B253" s="64">
        <v>1</v>
      </c>
      <c r="C253" s="65">
        <v>44927</v>
      </c>
      <c r="D253" s="65">
        <v>45016</v>
      </c>
      <c r="E253" s="72">
        <f t="shared" si="134"/>
        <v>16666.666666666668</v>
      </c>
      <c r="F253" s="73">
        <v>0</v>
      </c>
      <c r="G253" s="73">
        <f t="shared" ref="G253:G267" si="136">G252+E253</f>
        <v>50000</v>
      </c>
      <c r="H253" s="73">
        <f t="shared" ref="H253:H266" si="137">SUM(H252+F253)</f>
        <v>2315</v>
      </c>
      <c r="I253" s="74">
        <f t="shared" si="132"/>
        <v>4.6300000000000001E-2</v>
      </c>
      <c r="J253" s="75">
        <f t="shared" si="135"/>
        <v>1333.3333333333333</v>
      </c>
      <c r="K253" s="76">
        <v>0</v>
      </c>
      <c r="L253" s="76">
        <f>L252+J253</f>
        <v>4000</v>
      </c>
      <c r="M253" s="76">
        <f t="shared" ref="M253:M267" si="138">SUM(M252+K253)</f>
        <v>0</v>
      </c>
      <c r="N253" s="78">
        <f t="shared" ref="N253:N267" si="139">M253/L253</f>
        <v>0</v>
      </c>
      <c r="O253" s="68">
        <v>0</v>
      </c>
      <c r="P253" s="69">
        <v>0</v>
      </c>
    </row>
    <row r="254" spans="1:16" ht="15.5" x14ac:dyDescent="0.35">
      <c r="A254" s="64">
        <v>2023</v>
      </c>
      <c r="B254" s="64">
        <v>2</v>
      </c>
      <c r="C254" s="65">
        <v>45017</v>
      </c>
      <c r="D254" s="65">
        <v>45107</v>
      </c>
      <c r="E254" s="72">
        <f t="shared" si="134"/>
        <v>16666.666666666668</v>
      </c>
      <c r="F254" s="73">
        <v>0</v>
      </c>
      <c r="G254" s="73">
        <f t="shared" si="136"/>
        <v>66666.666666666672</v>
      </c>
      <c r="H254" s="73">
        <f t="shared" si="137"/>
        <v>2315</v>
      </c>
      <c r="I254" s="74">
        <f t="shared" si="132"/>
        <v>3.4724999999999999E-2</v>
      </c>
      <c r="J254" s="75">
        <f t="shared" si="135"/>
        <v>1333.3333333333333</v>
      </c>
      <c r="K254" s="76">
        <v>0</v>
      </c>
      <c r="L254" s="76">
        <f t="shared" ref="L254" si="140">L253+J254</f>
        <v>5333.333333333333</v>
      </c>
      <c r="M254" s="76">
        <f t="shared" si="138"/>
        <v>0</v>
      </c>
      <c r="N254" s="78">
        <f t="shared" si="139"/>
        <v>0</v>
      </c>
      <c r="O254" s="68">
        <v>0</v>
      </c>
      <c r="P254" s="69">
        <v>0</v>
      </c>
    </row>
    <row r="255" spans="1:16" ht="15.5" x14ac:dyDescent="0.35">
      <c r="A255" s="64">
        <v>2023</v>
      </c>
      <c r="B255" s="64">
        <v>3</v>
      </c>
      <c r="C255" s="65">
        <v>45108</v>
      </c>
      <c r="D255" s="65">
        <v>45199</v>
      </c>
      <c r="E255" s="72">
        <f t="shared" si="134"/>
        <v>16666.666666666668</v>
      </c>
      <c r="F255" s="73">
        <v>28519.26</v>
      </c>
      <c r="G255" s="73">
        <f t="shared" si="136"/>
        <v>83333.333333333343</v>
      </c>
      <c r="H255" s="73">
        <f t="shared" si="137"/>
        <v>30834.26</v>
      </c>
      <c r="I255" s="74">
        <f t="shared" si="132"/>
        <v>0.37001111999999992</v>
      </c>
      <c r="J255" s="75">
        <f t="shared" si="135"/>
        <v>1333.3333333333333</v>
      </c>
      <c r="K255" s="76">
        <v>3047</v>
      </c>
      <c r="L255" s="76">
        <f>L254+J255</f>
        <v>6666.6666666666661</v>
      </c>
      <c r="M255" s="76">
        <f t="shared" si="138"/>
        <v>3047</v>
      </c>
      <c r="N255" s="78">
        <f t="shared" si="139"/>
        <v>0.45705000000000007</v>
      </c>
      <c r="O255" s="68">
        <v>0</v>
      </c>
      <c r="P255" s="69">
        <v>0</v>
      </c>
    </row>
    <row r="256" spans="1:16" ht="15.5" x14ac:dyDescent="0.35">
      <c r="A256" s="64">
        <v>2023</v>
      </c>
      <c r="B256" s="64">
        <v>4</v>
      </c>
      <c r="C256" s="65">
        <v>45200</v>
      </c>
      <c r="D256" s="65">
        <v>45291</v>
      </c>
      <c r="E256" s="72">
        <f t="shared" si="134"/>
        <v>16666.666666666668</v>
      </c>
      <c r="F256" s="73">
        <v>78533.89</v>
      </c>
      <c r="G256" s="73">
        <f t="shared" si="136"/>
        <v>100000.00000000001</v>
      </c>
      <c r="H256" s="73">
        <f t="shared" si="137"/>
        <v>109368.15</v>
      </c>
      <c r="I256" s="74">
        <f t="shared" si="132"/>
        <v>1.0936814999999998</v>
      </c>
      <c r="J256" s="75">
        <f t="shared" si="135"/>
        <v>1333.3333333333333</v>
      </c>
      <c r="K256" s="76">
        <v>0</v>
      </c>
      <c r="L256" s="76">
        <f t="shared" ref="L256:L267" si="141">L255+J256</f>
        <v>7999.9999999999991</v>
      </c>
      <c r="M256" s="76">
        <f t="shared" si="138"/>
        <v>3047</v>
      </c>
      <c r="N256" s="78">
        <f t="shared" si="139"/>
        <v>0.38087500000000002</v>
      </c>
      <c r="O256" s="68">
        <v>0</v>
      </c>
      <c r="P256" s="69">
        <v>0</v>
      </c>
    </row>
    <row r="257" spans="1:16" ht="15.5" x14ac:dyDescent="0.35">
      <c r="A257" s="64">
        <v>2024</v>
      </c>
      <c r="B257" s="64">
        <v>1</v>
      </c>
      <c r="C257" s="65">
        <v>45292</v>
      </c>
      <c r="D257" s="65">
        <v>45382</v>
      </c>
      <c r="E257" s="72">
        <f t="shared" si="134"/>
        <v>16666.666666666668</v>
      </c>
      <c r="F257" s="73">
        <v>25631.85</v>
      </c>
      <c r="G257" s="73">
        <f t="shared" si="136"/>
        <v>116666.66666666669</v>
      </c>
      <c r="H257" s="73">
        <f t="shared" si="137"/>
        <v>135000</v>
      </c>
      <c r="I257" s="74">
        <f t="shared" si="132"/>
        <v>1.157142857142857</v>
      </c>
      <c r="J257" s="75">
        <f t="shared" si="135"/>
        <v>1333.3333333333333</v>
      </c>
      <c r="K257" s="76">
        <v>0</v>
      </c>
      <c r="L257" s="76">
        <f t="shared" si="141"/>
        <v>9333.3333333333321</v>
      </c>
      <c r="M257" s="76">
        <f t="shared" si="138"/>
        <v>3047</v>
      </c>
      <c r="N257" s="78">
        <f t="shared" si="139"/>
        <v>0.32646428571428576</v>
      </c>
      <c r="O257" s="68">
        <v>0</v>
      </c>
      <c r="P257" s="69">
        <v>0</v>
      </c>
    </row>
    <row r="258" spans="1:16" ht="15.5" x14ac:dyDescent="0.35">
      <c r="A258" s="64">
        <v>2024</v>
      </c>
      <c r="B258" s="64">
        <v>2</v>
      </c>
      <c r="C258" s="65">
        <v>45383</v>
      </c>
      <c r="D258" s="65">
        <v>45473</v>
      </c>
      <c r="E258" s="72">
        <f t="shared" si="134"/>
        <v>16666.666666666668</v>
      </c>
      <c r="F258" s="73">
        <v>0</v>
      </c>
      <c r="G258" s="73">
        <f t="shared" si="136"/>
        <v>133333.33333333334</v>
      </c>
      <c r="H258" s="73">
        <f t="shared" si="137"/>
        <v>135000</v>
      </c>
      <c r="I258" s="74">
        <f t="shared" si="132"/>
        <v>1.0125</v>
      </c>
      <c r="J258" s="75">
        <f t="shared" si="135"/>
        <v>1333.3333333333333</v>
      </c>
      <c r="K258" s="76">
        <v>0</v>
      </c>
      <c r="L258" s="76">
        <f t="shared" si="141"/>
        <v>10666.666666666666</v>
      </c>
      <c r="M258" s="76">
        <f t="shared" si="138"/>
        <v>3047</v>
      </c>
      <c r="N258" s="78">
        <f t="shared" si="139"/>
        <v>0.28565625</v>
      </c>
      <c r="O258" s="68">
        <v>0</v>
      </c>
      <c r="P258" s="69">
        <v>0</v>
      </c>
    </row>
    <row r="259" spans="1:16" ht="15.5" x14ac:dyDescent="0.35">
      <c r="A259" s="64">
        <v>2024</v>
      </c>
      <c r="B259" s="64">
        <v>3</v>
      </c>
      <c r="C259" s="65">
        <v>45474</v>
      </c>
      <c r="D259" s="65">
        <v>45565</v>
      </c>
      <c r="E259" s="72">
        <f t="shared" si="134"/>
        <v>16666.666666666668</v>
      </c>
      <c r="F259" s="73">
        <v>15000</v>
      </c>
      <c r="G259" s="73">
        <f t="shared" si="136"/>
        <v>150000</v>
      </c>
      <c r="H259" s="73">
        <f t="shared" si="137"/>
        <v>150000</v>
      </c>
      <c r="I259" s="128">
        <f t="shared" si="132"/>
        <v>1</v>
      </c>
      <c r="J259" s="75">
        <f t="shared" si="135"/>
        <v>1333.3333333333333</v>
      </c>
      <c r="K259" s="77">
        <v>8953</v>
      </c>
      <c r="L259" s="77">
        <f t="shared" si="141"/>
        <v>12000</v>
      </c>
      <c r="M259" s="77">
        <f t="shared" si="138"/>
        <v>12000</v>
      </c>
      <c r="N259" s="78">
        <f t="shared" si="139"/>
        <v>1</v>
      </c>
      <c r="O259" s="131">
        <v>2</v>
      </c>
      <c r="P259" s="130">
        <v>2</v>
      </c>
    </row>
    <row r="260" spans="1:16" ht="15.5" x14ac:dyDescent="0.35">
      <c r="A260" s="64">
        <v>2024</v>
      </c>
      <c r="B260" s="64">
        <v>4</v>
      </c>
      <c r="C260" s="65">
        <v>45566</v>
      </c>
      <c r="D260" s="65">
        <v>45657</v>
      </c>
      <c r="E260" s="72">
        <v>0</v>
      </c>
      <c r="F260" s="73"/>
      <c r="G260" s="73">
        <f t="shared" si="136"/>
        <v>150000</v>
      </c>
      <c r="H260" s="73">
        <f t="shared" si="137"/>
        <v>150000</v>
      </c>
      <c r="I260" s="128">
        <f t="shared" si="132"/>
        <v>1</v>
      </c>
      <c r="J260" s="75">
        <v>0</v>
      </c>
      <c r="K260" s="77"/>
      <c r="L260" s="77">
        <f t="shared" si="141"/>
        <v>12000</v>
      </c>
      <c r="M260" s="77">
        <f t="shared" si="138"/>
        <v>12000</v>
      </c>
      <c r="N260" s="78">
        <f t="shared" si="139"/>
        <v>1</v>
      </c>
      <c r="O260" s="131"/>
      <c r="P260" s="130"/>
    </row>
    <row r="261" spans="1:16" ht="15.5" x14ac:dyDescent="0.35">
      <c r="A261" s="64">
        <v>2025</v>
      </c>
      <c r="B261" s="64">
        <v>1</v>
      </c>
      <c r="C261" s="65">
        <v>45658</v>
      </c>
      <c r="D261" s="65">
        <v>45747</v>
      </c>
      <c r="E261" s="72">
        <v>0</v>
      </c>
      <c r="F261" s="73"/>
      <c r="G261" s="73">
        <f t="shared" si="136"/>
        <v>150000</v>
      </c>
      <c r="H261" s="73">
        <f t="shared" si="137"/>
        <v>150000</v>
      </c>
      <c r="I261" s="128">
        <f t="shared" si="132"/>
        <v>1</v>
      </c>
      <c r="J261" s="75">
        <v>0</v>
      </c>
      <c r="K261" s="77"/>
      <c r="L261" s="77">
        <f t="shared" si="141"/>
        <v>12000</v>
      </c>
      <c r="M261" s="77">
        <f t="shared" si="138"/>
        <v>12000</v>
      </c>
      <c r="N261" s="78">
        <f t="shared" si="139"/>
        <v>1</v>
      </c>
      <c r="O261" s="131"/>
      <c r="P261" s="130"/>
    </row>
    <row r="262" spans="1:16" ht="15.5" x14ac:dyDescent="0.35">
      <c r="A262" s="64">
        <v>2025</v>
      </c>
      <c r="B262" s="64">
        <v>2</v>
      </c>
      <c r="C262" s="65">
        <v>45748</v>
      </c>
      <c r="D262" s="65">
        <v>45838</v>
      </c>
      <c r="E262" s="72">
        <v>0</v>
      </c>
      <c r="F262" s="73"/>
      <c r="G262" s="73">
        <f t="shared" si="136"/>
        <v>150000</v>
      </c>
      <c r="H262" s="73">
        <f t="shared" si="137"/>
        <v>150000</v>
      </c>
      <c r="I262" s="128">
        <f t="shared" si="132"/>
        <v>1</v>
      </c>
      <c r="J262" s="75">
        <v>0</v>
      </c>
      <c r="K262" s="77"/>
      <c r="L262" s="77">
        <f t="shared" si="141"/>
        <v>12000</v>
      </c>
      <c r="M262" s="77">
        <f t="shared" si="138"/>
        <v>12000</v>
      </c>
      <c r="N262" s="78">
        <f t="shared" si="139"/>
        <v>1</v>
      </c>
      <c r="O262" s="131"/>
      <c r="P262" s="130"/>
    </row>
    <row r="263" spans="1:16" ht="15.5" x14ac:dyDescent="0.35">
      <c r="A263" s="64">
        <v>2025</v>
      </c>
      <c r="B263" s="64">
        <v>3</v>
      </c>
      <c r="C263" s="65">
        <v>45839</v>
      </c>
      <c r="D263" s="65">
        <v>45930</v>
      </c>
      <c r="E263" s="72">
        <v>0</v>
      </c>
      <c r="F263" s="73"/>
      <c r="G263" s="73">
        <f t="shared" si="136"/>
        <v>150000</v>
      </c>
      <c r="H263" s="73">
        <f t="shared" si="137"/>
        <v>150000</v>
      </c>
      <c r="I263" s="128">
        <f t="shared" si="132"/>
        <v>1</v>
      </c>
      <c r="J263" s="75">
        <v>0</v>
      </c>
      <c r="K263" s="77"/>
      <c r="L263" s="77">
        <f t="shared" si="141"/>
        <v>12000</v>
      </c>
      <c r="M263" s="77">
        <f t="shared" si="138"/>
        <v>12000</v>
      </c>
      <c r="N263" s="78">
        <f t="shared" si="139"/>
        <v>1</v>
      </c>
      <c r="O263" s="131"/>
      <c r="P263" s="130"/>
    </row>
    <row r="264" spans="1:16" ht="15.5" x14ac:dyDescent="0.35">
      <c r="A264" s="64">
        <v>2025</v>
      </c>
      <c r="B264" s="64">
        <v>4</v>
      </c>
      <c r="C264" s="65">
        <v>45931</v>
      </c>
      <c r="D264" s="65">
        <v>46022</v>
      </c>
      <c r="E264" s="72">
        <v>0</v>
      </c>
      <c r="F264" s="73"/>
      <c r="G264" s="73">
        <f t="shared" si="136"/>
        <v>150000</v>
      </c>
      <c r="H264" s="73">
        <f t="shared" si="137"/>
        <v>150000</v>
      </c>
      <c r="I264" s="128">
        <f t="shared" si="132"/>
        <v>1</v>
      </c>
      <c r="J264" s="75">
        <v>0</v>
      </c>
      <c r="K264" s="77"/>
      <c r="L264" s="77">
        <f t="shared" si="141"/>
        <v>12000</v>
      </c>
      <c r="M264" s="77">
        <f t="shared" si="138"/>
        <v>12000</v>
      </c>
      <c r="N264" s="78">
        <f t="shared" si="139"/>
        <v>1</v>
      </c>
      <c r="O264" s="131"/>
      <c r="P264" s="130"/>
    </row>
    <row r="265" spans="1:16" ht="15.5" x14ac:dyDescent="0.35">
      <c r="A265" s="64">
        <v>2026</v>
      </c>
      <c r="B265" s="64">
        <v>1</v>
      </c>
      <c r="C265" s="65">
        <v>46023</v>
      </c>
      <c r="D265" s="65">
        <v>46112</v>
      </c>
      <c r="E265" s="72">
        <v>0</v>
      </c>
      <c r="F265" s="73"/>
      <c r="G265" s="73">
        <f t="shared" si="136"/>
        <v>150000</v>
      </c>
      <c r="H265" s="73">
        <f t="shared" si="137"/>
        <v>150000</v>
      </c>
      <c r="I265" s="128">
        <f>H265/G265</f>
        <v>1</v>
      </c>
      <c r="J265" s="75">
        <v>0</v>
      </c>
      <c r="K265" s="77"/>
      <c r="L265" s="77">
        <f t="shared" si="141"/>
        <v>12000</v>
      </c>
      <c r="M265" s="77">
        <f t="shared" si="138"/>
        <v>12000</v>
      </c>
      <c r="N265" s="78">
        <f t="shared" si="139"/>
        <v>1</v>
      </c>
      <c r="O265" s="131"/>
      <c r="P265" s="130"/>
    </row>
    <row r="266" spans="1:16" ht="15.5" x14ac:dyDescent="0.35">
      <c r="A266" s="64">
        <v>2026</v>
      </c>
      <c r="B266" s="64">
        <v>2</v>
      </c>
      <c r="C266" s="65">
        <v>46113</v>
      </c>
      <c r="D266" s="65">
        <v>46203</v>
      </c>
      <c r="E266" s="72">
        <v>0</v>
      </c>
      <c r="F266" s="73"/>
      <c r="G266" s="73">
        <f t="shared" si="136"/>
        <v>150000</v>
      </c>
      <c r="H266" s="73">
        <f t="shared" si="137"/>
        <v>150000</v>
      </c>
      <c r="I266" s="128">
        <f t="shared" ref="I266:I267" si="142">H266/G266</f>
        <v>1</v>
      </c>
      <c r="J266" s="75">
        <v>0</v>
      </c>
      <c r="K266" s="77"/>
      <c r="L266" s="77">
        <f t="shared" si="141"/>
        <v>12000</v>
      </c>
      <c r="M266" s="77">
        <f t="shared" si="138"/>
        <v>12000</v>
      </c>
      <c r="N266" s="78">
        <f t="shared" si="139"/>
        <v>1</v>
      </c>
      <c r="O266" s="131"/>
      <c r="P266" s="130"/>
    </row>
    <row r="267" spans="1:16" ht="15.5" x14ac:dyDescent="0.35">
      <c r="A267" s="64">
        <v>2026</v>
      </c>
      <c r="B267" s="64">
        <v>3</v>
      </c>
      <c r="C267" s="65">
        <v>46204</v>
      </c>
      <c r="D267" s="65">
        <v>46295</v>
      </c>
      <c r="E267" s="72">
        <v>0</v>
      </c>
      <c r="F267" s="73"/>
      <c r="G267" s="73">
        <f t="shared" si="136"/>
        <v>150000</v>
      </c>
      <c r="H267" s="73">
        <f>SUM(H266+F267)</f>
        <v>150000</v>
      </c>
      <c r="I267" s="128">
        <f t="shared" si="142"/>
        <v>1</v>
      </c>
      <c r="J267" s="75">
        <v>0</v>
      </c>
      <c r="K267" s="132"/>
      <c r="L267" s="132">
        <f t="shared" si="141"/>
        <v>12000</v>
      </c>
      <c r="M267" s="132">
        <f t="shared" si="138"/>
        <v>12000</v>
      </c>
      <c r="N267" s="78">
        <f t="shared" si="139"/>
        <v>1</v>
      </c>
      <c r="O267" s="131"/>
      <c r="P267" s="130"/>
    </row>
    <row r="268" spans="1:16" ht="15" thickBot="1" x14ac:dyDescent="0.4">
      <c r="A268" s="133" t="s">
        <v>12</v>
      </c>
      <c r="B268" s="133"/>
      <c r="C268" s="133"/>
      <c r="D268" s="134"/>
      <c r="E268" s="135">
        <f>135000+15000</f>
        <v>150000</v>
      </c>
      <c r="F268" s="136">
        <f>SUM(F244:F267)</f>
        <v>150000</v>
      </c>
      <c r="G268" s="136">
        <f>G267</f>
        <v>150000</v>
      </c>
      <c r="H268" s="137">
        <f>H267</f>
        <v>150000</v>
      </c>
      <c r="I268" s="189">
        <f>H268/G268</f>
        <v>1</v>
      </c>
      <c r="J268" s="138">
        <v>12000</v>
      </c>
      <c r="K268" s="139">
        <f>SUM(K244:K267)</f>
        <v>12000</v>
      </c>
      <c r="L268" s="140">
        <f>L267</f>
        <v>12000</v>
      </c>
      <c r="M268" s="141">
        <f>M267</f>
        <v>12000</v>
      </c>
      <c r="N268" s="142">
        <f>M268/L268</f>
        <v>1</v>
      </c>
      <c r="O268" s="143">
        <f>SUM(O244:O267)</f>
        <v>2</v>
      </c>
      <c r="P268" s="143">
        <f>SUM(P244:P267)</f>
        <v>2</v>
      </c>
    </row>
    <row r="269" spans="1:16" ht="15" thickTop="1" x14ac:dyDescent="0.35">
      <c r="E269" s="33">
        <f>E268+J268</f>
        <v>162000</v>
      </c>
    </row>
  </sheetData>
  <mergeCells count="36">
    <mergeCell ref="A241:P241"/>
    <mergeCell ref="A242:D242"/>
    <mergeCell ref="E242:I242"/>
    <mergeCell ref="J242:N242"/>
    <mergeCell ref="A211:P211"/>
    <mergeCell ref="A212:D212"/>
    <mergeCell ref="E212:I212"/>
    <mergeCell ref="J212:N212"/>
    <mergeCell ref="A181:P181"/>
    <mergeCell ref="A182:D182"/>
    <mergeCell ref="E182:I182"/>
    <mergeCell ref="J182:N182"/>
    <mergeCell ref="A121:P121"/>
    <mergeCell ref="A122:D122"/>
    <mergeCell ref="E122:I122"/>
    <mergeCell ref="J122:N122"/>
    <mergeCell ref="A151:P151"/>
    <mergeCell ref="A152:D152"/>
    <mergeCell ref="E152:I152"/>
    <mergeCell ref="J152:N152"/>
    <mergeCell ref="A1:P1"/>
    <mergeCell ref="A31:P31"/>
    <mergeCell ref="A91:P91"/>
    <mergeCell ref="A92:D92"/>
    <mergeCell ref="E92:I92"/>
    <mergeCell ref="J92:N92"/>
    <mergeCell ref="A2:D2"/>
    <mergeCell ref="E2:I2"/>
    <mergeCell ref="J2:N2"/>
    <mergeCell ref="A32:D32"/>
    <mergeCell ref="E32:I32"/>
    <mergeCell ref="J32:N32"/>
    <mergeCell ref="A62:D62"/>
    <mergeCell ref="E62:I62"/>
    <mergeCell ref="J62:N62"/>
    <mergeCell ref="A61:P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C2A6F-B35F-447C-A4D7-4F9BE6DBC47A}">
  <dimension ref="A1:P360"/>
  <sheetViews>
    <sheetView zoomScale="80" zoomScaleNormal="80" workbookViewId="0">
      <selection activeCell="L12" sqref="L12"/>
    </sheetView>
  </sheetViews>
  <sheetFormatPr defaultRowHeight="14.5" x14ac:dyDescent="0.35"/>
  <cols>
    <col min="3" max="3" width="11.7265625" bestFit="1" customWidth="1"/>
    <col min="4" max="4" width="13" bestFit="1" customWidth="1"/>
    <col min="5" max="8" width="15.1796875" bestFit="1" customWidth="1"/>
    <col min="9" max="9" width="9" bestFit="1" customWidth="1"/>
    <col min="10" max="10" width="12.7265625" bestFit="1" customWidth="1"/>
    <col min="11" max="11" width="12.26953125" bestFit="1" customWidth="1"/>
    <col min="12" max="12" width="13.453125" bestFit="1" customWidth="1"/>
    <col min="13" max="13" width="12.26953125" bestFit="1" customWidth="1"/>
    <col min="15" max="15" width="11" customWidth="1"/>
    <col min="16" max="16" width="12.453125" customWidth="1"/>
  </cols>
  <sheetData>
    <row r="1" spans="1:16" x14ac:dyDescent="0.35">
      <c r="A1" s="218" t="s">
        <v>91</v>
      </c>
      <c r="B1" s="218"/>
      <c r="C1" s="218"/>
      <c r="D1" s="218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8"/>
      <c r="P1" s="218"/>
    </row>
    <row r="2" spans="1:16" ht="15" thickBot="1" x14ac:dyDescent="0.4">
      <c r="A2" s="202" t="s">
        <v>0</v>
      </c>
      <c r="B2" s="204"/>
      <c r="C2" s="204"/>
      <c r="D2" s="204"/>
      <c r="E2" s="193" t="s">
        <v>92</v>
      </c>
      <c r="F2" s="193"/>
      <c r="G2" s="193"/>
      <c r="H2" s="193"/>
      <c r="I2" s="194"/>
      <c r="J2" s="195" t="s">
        <v>93</v>
      </c>
      <c r="K2" s="196"/>
      <c r="L2" s="196"/>
      <c r="M2" s="196"/>
      <c r="N2" s="197"/>
      <c r="O2" s="12"/>
      <c r="P2" s="6"/>
    </row>
    <row r="3" spans="1:16" ht="58.5" thickTop="1" x14ac:dyDescent="0.35">
      <c r="A3" s="7" t="s">
        <v>1</v>
      </c>
      <c r="B3" s="7" t="s">
        <v>2</v>
      </c>
      <c r="C3" s="7" t="s">
        <v>3</v>
      </c>
      <c r="D3" s="9" t="s">
        <v>9</v>
      </c>
      <c r="E3" s="25" t="s">
        <v>4</v>
      </c>
      <c r="F3" s="20" t="s">
        <v>6</v>
      </c>
      <c r="G3" s="20" t="s">
        <v>5</v>
      </c>
      <c r="H3" s="20" t="s">
        <v>7</v>
      </c>
      <c r="I3" s="23" t="s">
        <v>8</v>
      </c>
      <c r="J3" s="25" t="s">
        <v>4</v>
      </c>
      <c r="K3" s="26" t="s">
        <v>6</v>
      </c>
      <c r="L3" s="26" t="s">
        <v>5</v>
      </c>
      <c r="M3" s="26" t="s">
        <v>7</v>
      </c>
      <c r="N3" s="27" t="s">
        <v>8</v>
      </c>
      <c r="O3" s="13" t="s">
        <v>94</v>
      </c>
      <c r="P3" s="8" t="s">
        <v>95</v>
      </c>
    </row>
    <row r="4" spans="1:16" ht="15.5" x14ac:dyDescent="0.35">
      <c r="A4" s="64">
        <v>2020</v>
      </c>
      <c r="B4" s="64">
        <v>4</v>
      </c>
      <c r="C4" s="65">
        <v>44105</v>
      </c>
      <c r="D4" s="65">
        <v>44196</v>
      </c>
      <c r="E4" s="66"/>
      <c r="F4" s="66"/>
      <c r="G4" s="66"/>
      <c r="H4" s="66"/>
      <c r="I4" s="67"/>
      <c r="J4" s="66"/>
      <c r="K4" s="66"/>
      <c r="L4" s="66"/>
      <c r="M4" s="66"/>
      <c r="N4" s="67"/>
      <c r="O4" s="68"/>
      <c r="P4" s="69"/>
    </row>
    <row r="5" spans="1:16" ht="15.5" x14ac:dyDescent="0.35">
      <c r="A5" s="64">
        <v>2021</v>
      </c>
      <c r="B5" s="64">
        <v>1</v>
      </c>
      <c r="C5" s="65">
        <v>44197</v>
      </c>
      <c r="D5" s="65">
        <v>44286</v>
      </c>
      <c r="E5" s="66"/>
      <c r="F5" s="66"/>
      <c r="G5" s="66"/>
      <c r="H5" s="66"/>
      <c r="I5" s="67"/>
      <c r="J5" s="66"/>
      <c r="K5" s="66"/>
      <c r="L5" s="66"/>
      <c r="M5" s="66"/>
      <c r="N5" s="67"/>
      <c r="O5" s="68"/>
      <c r="P5" s="69"/>
    </row>
    <row r="6" spans="1:16" s="108" customFormat="1" ht="15.5" x14ac:dyDescent="0.35">
      <c r="A6" s="89">
        <v>2021</v>
      </c>
      <c r="B6" s="89">
        <v>2</v>
      </c>
      <c r="C6" s="90">
        <v>44287</v>
      </c>
      <c r="D6" s="90">
        <v>44377</v>
      </c>
      <c r="E6" s="100">
        <f>$E$28/15</f>
        <v>61300.333333333336</v>
      </c>
      <c r="F6" s="92">
        <v>0</v>
      </c>
      <c r="G6" s="92">
        <f>E6</f>
        <v>61300.333333333336</v>
      </c>
      <c r="H6" s="92">
        <f>SUM(F6+0)</f>
        <v>0</v>
      </c>
      <c r="I6" s="101">
        <v>0</v>
      </c>
      <c r="J6" s="102">
        <f>$J$28/15</f>
        <v>2450</v>
      </c>
      <c r="K6" s="103">
        <v>0</v>
      </c>
      <c r="L6" s="104">
        <f>J6</f>
        <v>2450</v>
      </c>
      <c r="M6" s="103">
        <f>SUM(K6+0)</f>
        <v>0</v>
      </c>
      <c r="N6" s="105">
        <v>0</v>
      </c>
      <c r="O6" s="109">
        <v>4</v>
      </c>
      <c r="P6" s="107">
        <v>0</v>
      </c>
    </row>
    <row r="7" spans="1:16" ht="15.5" x14ac:dyDescent="0.35">
      <c r="A7" s="64">
        <v>2021</v>
      </c>
      <c r="B7" s="64">
        <v>3</v>
      </c>
      <c r="C7" s="65">
        <v>44378</v>
      </c>
      <c r="D7" s="65">
        <v>44469</v>
      </c>
      <c r="E7" s="100">
        <f t="shared" ref="E7:E20" si="0">$E$28/15</f>
        <v>61300.333333333336</v>
      </c>
      <c r="F7" s="73">
        <v>217144</v>
      </c>
      <c r="G7" s="73">
        <f t="shared" ref="G7:G8" si="1">G6+E7</f>
        <v>122600.66666666667</v>
      </c>
      <c r="H7" s="73">
        <f t="shared" ref="H7:H11" si="2">SUM(H6+F7)</f>
        <v>217144</v>
      </c>
      <c r="I7" s="74">
        <v>0</v>
      </c>
      <c r="J7" s="102">
        <f t="shared" ref="J7:J20" si="3">$J$28/15</f>
        <v>2450</v>
      </c>
      <c r="K7" s="76">
        <v>0</v>
      </c>
      <c r="L7" s="76">
        <f>L6+J7</f>
        <v>4900</v>
      </c>
      <c r="M7" s="76">
        <f>SUM(M6+K7)</f>
        <v>0</v>
      </c>
      <c r="N7" s="118">
        <v>0</v>
      </c>
      <c r="O7" s="119">
        <v>4</v>
      </c>
      <c r="P7" s="68">
        <v>13</v>
      </c>
    </row>
    <row r="8" spans="1:16" ht="15.5" x14ac:dyDescent="0.35">
      <c r="A8" s="64">
        <v>2022</v>
      </c>
      <c r="B8" s="64">
        <v>4</v>
      </c>
      <c r="C8" s="65">
        <v>44470</v>
      </c>
      <c r="D8" s="65">
        <v>44561</v>
      </c>
      <c r="E8" s="100">
        <f t="shared" si="0"/>
        <v>61300.333333333336</v>
      </c>
      <c r="F8" s="73">
        <v>0</v>
      </c>
      <c r="G8" s="73">
        <f t="shared" si="1"/>
        <v>183901</v>
      </c>
      <c r="H8" s="73">
        <f t="shared" si="2"/>
        <v>217144</v>
      </c>
      <c r="I8" s="74">
        <f t="shared" ref="I8:I24" si="4">H8/G8</f>
        <v>1.1807657380873404</v>
      </c>
      <c r="J8" s="102">
        <f t="shared" si="3"/>
        <v>2450</v>
      </c>
      <c r="K8" s="76">
        <v>0</v>
      </c>
      <c r="L8" s="76">
        <f t="shared" ref="L8:L11" si="5">L7+J8</f>
        <v>7350</v>
      </c>
      <c r="M8" s="76">
        <f t="shared" ref="M8:M10" si="6">SUM(M7+K8)</f>
        <v>0</v>
      </c>
      <c r="N8" s="118">
        <f t="shared" ref="N8:N11" si="7">M8/L8</f>
        <v>0</v>
      </c>
      <c r="O8" s="119">
        <v>4</v>
      </c>
      <c r="P8" s="68">
        <v>10</v>
      </c>
    </row>
    <row r="9" spans="1:16" ht="15.5" x14ac:dyDescent="0.35">
      <c r="A9" s="64">
        <v>2022</v>
      </c>
      <c r="B9" s="64">
        <v>1</v>
      </c>
      <c r="C9" s="65">
        <v>44562</v>
      </c>
      <c r="D9" s="65">
        <v>44651</v>
      </c>
      <c r="E9" s="100">
        <f t="shared" si="0"/>
        <v>61300.333333333336</v>
      </c>
      <c r="F9" s="73">
        <v>325882</v>
      </c>
      <c r="G9" s="73">
        <f>G8+E9</f>
        <v>245201.33333333334</v>
      </c>
      <c r="H9" s="73">
        <f t="shared" si="2"/>
        <v>543026</v>
      </c>
      <c r="I9" s="74">
        <f t="shared" si="4"/>
        <v>2.2146127536011222</v>
      </c>
      <c r="J9" s="102">
        <f t="shared" si="3"/>
        <v>2450</v>
      </c>
      <c r="K9" s="76">
        <v>0</v>
      </c>
      <c r="L9" s="76">
        <f t="shared" si="5"/>
        <v>9800</v>
      </c>
      <c r="M9" s="76">
        <f t="shared" si="6"/>
        <v>0</v>
      </c>
      <c r="N9" s="118">
        <f t="shared" si="7"/>
        <v>0</v>
      </c>
      <c r="O9" s="119">
        <v>4</v>
      </c>
      <c r="P9" s="68">
        <v>4</v>
      </c>
    </row>
    <row r="10" spans="1:16" ht="15.5" x14ac:dyDescent="0.35">
      <c r="A10" s="64">
        <v>2022</v>
      </c>
      <c r="B10" s="64">
        <v>2</v>
      </c>
      <c r="C10" s="65">
        <v>44652</v>
      </c>
      <c r="D10" s="65">
        <v>44742</v>
      </c>
      <c r="E10" s="100">
        <f t="shared" si="0"/>
        <v>61300.333333333336</v>
      </c>
      <c r="F10" s="73">
        <v>63892</v>
      </c>
      <c r="G10" s="73">
        <f t="shared" ref="G10:G11" si="8">G9+E10</f>
        <v>306501.66666666669</v>
      </c>
      <c r="H10" s="73">
        <f t="shared" si="2"/>
        <v>606918</v>
      </c>
      <c r="I10" s="74">
        <f t="shared" si="4"/>
        <v>1.9801458393374696</v>
      </c>
      <c r="J10" s="102">
        <f t="shared" si="3"/>
        <v>2450</v>
      </c>
      <c r="K10" s="76">
        <v>0</v>
      </c>
      <c r="L10" s="76">
        <f t="shared" si="5"/>
        <v>12250</v>
      </c>
      <c r="M10" s="76">
        <f t="shared" si="6"/>
        <v>0</v>
      </c>
      <c r="N10" s="118">
        <f t="shared" si="7"/>
        <v>0</v>
      </c>
      <c r="O10" s="119">
        <v>4</v>
      </c>
      <c r="P10" s="68">
        <v>0</v>
      </c>
    </row>
    <row r="11" spans="1:16" ht="15.5" x14ac:dyDescent="0.35">
      <c r="A11" s="64">
        <v>2022</v>
      </c>
      <c r="B11" s="64">
        <v>3</v>
      </c>
      <c r="C11" s="65">
        <v>44743</v>
      </c>
      <c r="D11" s="65">
        <v>44834</v>
      </c>
      <c r="E11" s="100">
        <f t="shared" si="0"/>
        <v>61300.333333333336</v>
      </c>
      <c r="F11" s="73">
        <v>0</v>
      </c>
      <c r="G11" s="73">
        <f t="shared" si="8"/>
        <v>367802</v>
      </c>
      <c r="H11" s="73">
        <f t="shared" si="2"/>
        <v>606918</v>
      </c>
      <c r="I11" s="74">
        <f t="shared" si="4"/>
        <v>1.6501215327812246</v>
      </c>
      <c r="J11" s="102">
        <f t="shared" si="3"/>
        <v>2450</v>
      </c>
      <c r="K11" s="76">
        <v>0</v>
      </c>
      <c r="L11" s="76">
        <f t="shared" si="5"/>
        <v>14700</v>
      </c>
      <c r="M11" s="76">
        <f>SUM(M10+K11)</f>
        <v>0</v>
      </c>
      <c r="N11" s="118">
        <f t="shared" si="7"/>
        <v>0</v>
      </c>
      <c r="O11" s="119">
        <v>5</v>
      </c>
      <c r="P11" s="68">
        <v>0</v>
      </c>
    </row>
    <row r="12" spans="1:16" ht="15.5" x14ac:dyDescent="0.35">
      <c r="A12" s="64">
        <v>2022</v>
      </c>
      <c r="B12" s="64">
        <v>4</v>
      </c>
      <c r="C12" s="65">
        <v>44835</v>
      </c>
      <c r="D12" s="65">
        <v>44926</v>
      </c>
      <c r="E12" s="100">
        <f t="shared" si="0"/>
        <v>61300.333333333336</v>
      </c>
      <c r="F12" s="73">
        <v>23794</v>
      </c>
      <c r="G12" s="73">
        <f>G11+E12</f>
        <v>429102.33333333331</v>
      </c>
      <c r="H12" s="73">
        <f>SUM(H11+F12)</f>
        <v>630712</v>
      </c>
      <c r="I12" s="74">
        <f t="shared" si="4"/>
        <v>1.4698405275509261</v>
      </c>
      <c r="J12" s="102">
        <f t="shared" si="3"/>
        <v>2450</v>
      </c>
      <c r="K12" s="76">
        <v>17250</v>
      </c>
      <c r="L12" s="76">
        <f>L11+J12</f>
        <v>17150</v>
      </c>
      <c r="M12" s="76">
        <f>SUM(M11+K12)</f>
        <v>17250</v>
      </c>
      <c r="N12" s="118">
        <f>M12/L12</f>
        <v>1.0058309037900874</v>
      </c>
      <c r="O12" s="119">
        <v>5</v>
      </c>
      <c r="P12" s="68">
        <v>0</v>
      </c>
    </row>
    <row r="13" spans="1:16" ht="15.5" x14ac:dyDescent="0.35">
      <c r="A13" s="64">
        <v>2023</v>
      </c>
      <c r="B13" s="64">
        <v>1</v>
      </c>
      <c r="C13" s="65">
        <v>44927</v>
      </c>
      <c r="D13" s="65">
        <v>45016</v>
      </c>
      <c r="E13" s="100">
        <f t="shared" si="0"/>
        <v>61300.333333333336</v>
      </c>
      <c r="F13" s="73">
        <v>0</v>
      </c>
      <c r="G13" s="73">
        <f t="shared" ref="G13:G27" si="9">G12+E13</f>
        <v>490402.66666666663</v>
      </c>
      <c r="H13" s="73">
        <f t="shared" ref="H13:H26" si="10">SUM(H12+F13)</f>
        <v>630712</v>
      </c>
      <c r="I13" s="74">
        <f t="shared" si="4"/>
        <v>1.2861104616070604</v>
      </c>
      <c r="J13" s="102">
        <f t="shared" si="3"/>
        <v>2450</v>
      </c>
      <c r="K13" s="76">
        <v>0</v>
      </c>
      <c r="L13" s="76">
        <f>L12+J13</f>
        <v>19600</v>
      </c>
      <c r="M13" s="76">
        <f t="shared" ref="M13:M27" si="11">SUM(M12+K13)</f>
        <v>17250</v>
      </c>
      <c r="N13" s="118">
        <f t="shared" ref="N13:N27" si="12">M13/L13</f>
        <v>0.88010204081632648</v>
      </c>
      <c r="O13" s="119">
        <v>5</v>
      </c>
      <c r="P13" s="68">
        <v>0</v>
      </c>
    </row>
    <row r="14" spans="1:16" ht="15.5" x14ac:dyDescent="0.35">
      <c r="A14" s="64">
        <v>2023</v>
      </c>
      <c r="B14" s="64">
        <v>2</v>
      </c>
      <c r="C14" s="65">
        <v>45017</v>
      </c>
      <c r="D14" s="65">
        <v>45107</v>
      </c>
      <c r="E14" s="100">
        <f t="shared" si="0"/>
        <v>61300.333333333336</v>
      </c>
      <c r="F14" s="73">
        <v>0</v>
      </c>
      <c r="G14" s="73">
        <f t="shared" si="9"/>
        <v>551703</v>
      </c>
      <c r="H14" s="73">
        <f t="shared" si="10"/>
        <v>630712</v>
      </c>
      <c r="I14" s="74">
        <f t="shared" si="4"/>
        <v>1.1432092992062759</v>
      </c>
      <c r="J14" s="102">
        <f t="shared" si="3"/>
        <v>2450</v>
      </c>
      <c r="K14" s="76">
        <v>0</v>
      </c>
      <c r="L14" s="76">
        <f t="shared" ref="L14" si="13">L13+J14</f>
        <v>22050</v>
      </c>
      <c r="M14" s="76">
        <f t="shared" si="11"/>
        <v>17250</v>
      </c>
      <c r="N14" s="118">
        <f t="shared" si="12"/>
        <v>0.78231292517006801</v>
      </c>
      <c r="O14" s="119">
        <v>5</v>
      </c>
      <c r="P14" s="68">
        <v>0</v>
      </c>
    </row>
    <row r="15" spans="1:16" ht="15.5" x14ac:dyDescent="0.35">
      <c r="A15" s="64">
        <v>2023</v>
      </c>
      <c r="B15" s="64">
        <v>3</v>
      </c>
      <c r="C15" s="65">
        <v>45108</v>
      </c>
      <c r="D15" s="65">
        <v>45199</v>
      </c>
      <c r="E15" s="100">
        <f t="shared" si="0"/>
        <v>61300.333333333336</v>
      </c>
      <c r="F15" s="73">
        <v>0</v>
      </c>
      <c r="G15" s="73">
        <f t="shared" si="9"/>
        <v>613003.33333333337</v>
      </c>
      <c r="H15" s="73">
        <f t="shared" si="10"/>
        <v>630712</v>
      </c>
      <c r="I15" s="74">
        <f t="shared" si="4"/>
        <v>1.0288883692856481</v>
      </c>
      <c r="J15" s="102">
        <f t="shared" si="3"/>
        <v>2450</v>
      </c>
      <c r="K15" s="76">
        <v>0</v>
      </c>
      <c r="L15" s="76">
        <f>L14+J15</f>
        <v>24500</v>
      </c>
      <c r="M15" s="76">
        <f t="shared" si="11"/>
        <v>17250</v>
      </c>
      <c r="N15" s="118">
        <f t="shared" si="12"/>
        <v>0.70408163265306123</v>
      </c>
      <c r="O15" s="119">
        <v>5</v>
      </c>
      <c r="P15" s="68">
        <v>0</v>
      </c>
    </row>
    <row r="16" spans="1:16" ht="15.5" x14ac:dyDescent="0.35">
      <c r="A16" s="64">
        <v>2023</v>
      </c>
      <c r="B16" s="64">
        <v>4</v>
      </c>
      <c r="C16" s="65">
        <v>45200</v>
      </c>
      <c r="D16" s="65">
        <v>45291</v>
      </c>
      <c r="E16" s="100">
        <f t="shared" si="0"/>
        <v>61300.333333333336</v>
      </c>
      <c r="F16" s="73">
        <v>0</v>
      </c>
      <c r="G16" s="73">
        <f t="shared" si="9"/>
        <v>674303.66666666674</v>
      </c>
      <c r="H16" s="73">
        <f t="shared" si="10"/>
        <v>630712</v>
      </c>
      <c r="I16" s="74">
        <f t="shared" si="4"/>
        <v>0.93535306298695287</v>
      </c>
      <c r="J16" s="102">
        <f t="shared" si="3"/>
        <v>2450</v>
      </c>
      <c r="K16" s="76">
        <v>0</v>
      </c>
      <c r="L16" s="76">
        <f t="shared" ref="L16:L27" si="14">L15+J16</f>
        <v>26950</v>
      </c>
      <c r="M16" s="76">
        <f t="shared" si="11"/>
        <v>17250</v>
      </c>
      <c r="N16" s="118">
        <f t="shared" si="12"/>
        <v>0.64007421150278299</v>
      </c>
      <c r="O16" s="119">
        <v>5</v>
      </c>
      <c r="P16" s="68">
        <v>0</v>
      </c>
    </row>
    <row r="17" spans="1:16" ht="15.5" x14ac:dyDescent="0.35">
      <c r="A17" s="64">
        <v>2024</v>
      </c>
      <c r="B17" s="64">
        <v>1</v>
      </c>
      <c r="C17" s="65">
        <v>45292</v>
      </c>
      <c r="D17" s="65">
        <v>45382</v>
      </c>
      <c r="E17" s="100">
        <f t="shared" si="0"/>
        <v>61300.333333333336</v>
      </c>
      <c r="F17" s="73">
        <v>0</v>
      </c>
      <c r="G17" s="73">
        <f t="shared" si="9"/>
        <v>735604.00000000012</v>
      </c>
      <c r="H17" s="73">
        <f t="shared" si="10"/>
        <v>630712</v>
      </c>
      <c r="I17" s="74">
        <f t="shared" si="4"/>
        <v>0.8574069744047067</v>
      </c>
      <c r="J17" s="102">
        <f t="shared" si="3"/>
        <v>2450</v>
      </c>
      <c r="K17" s="76">
        <v>0</v>
      </c>
      <c r="L17" s="76">
        <f t="shared" si="14"/>
        <v>29400</v>
      </c>
      <c r="M17" s="76">
        <f t="shared" si="11"/>
        <v>17250</v>
      </c>
      <c r="N17" s="118">
        <f t="shared" si="12"/>
        <v>0.58673469387755106</v>
      </c>
      <c r="O17" s="119">
        <v>0</v>
      </c>
      <c r="P17" s="68">
        <v>0</v>
      </c>
    </row>
    <row r="18" spans="1:16" ht="15.5" x14ac:dyDescent="0.35">
      <c r="A18" s="64">
        <v>2024</v>
      </c>
      <c r="B18" s="64">
        <v>2</v>
      </c>
      <c r="C18" s="65">
        <v>45383</v>
      </c>
      <c r="D18" s="65">
        <v>45473</v>
      </c>
      <c r="E18" s="100">
        <f t="shared" si="0"/>
        <v>61300.333333333336</v>
      </c>
      <c r="F18" s="73">
        <v>0</v>
      </c>
      <c r="G18" s="73">
        <f t="shared" si="9"/>
        <v>796904.33333333349</v>
      </c>
      <c r="H18" s="73">
        <f t="shared" si="10"/>
        <v>630712</v>
      </c>
      <c r="I18" s="74">
        <f t="shared" si="4"/>
        <v>0.79145259175819083</v>
      </c>
      <c r="J18" s="102">
        <f t="shared" si="3"/>
        <v>2450</v>
      </c>
      <c r="K18" s="76">
        <v>0</v>
      </c>
      <c r="L18" s="76">
        <f t="shared" si="14"/>
        <v>31850</v>
      </c>
      <c r="M18" s="76">
        <f t="shared" si="11"/>
        <v>17250</v>
      </c>
      <c r="N18" s="118">
        <f t="shared" si="12"/>
        <v>0.54160125588697017</v>
      </c>
      <c r="O18" s="119">
        <v>0</v>
      </c>
      <c r="P18" s="68">
        <v>0</v>
      </c>
    </row>
    <row r="19" spans="1:16" ht="15.5" x14ac:dyDescent="0.35">
      <c r="A19" s="64">
        <v>2024</v>
      </c>
      <c r="B19" s="64">
        <v>3</v>
      </c>
      <c r="C19" s="65">
        <v>45474</v>
      </c>
      <c r="D19" s="65">
        <v>45565</v>
      </c>
      <c r="E19" s="72">
        <f t="shared" si="0"/>
        <v>61300.333333333336</v>
      </c>
      <c r="F19" s="73">
        <v>0</v>
      </c>
      <c r="G19" s="73">
        <f t="shared" si="9"/>
        <v>858204.66666666686</v>
      </c>
      <c r="H19" s="73">
        <f t="shared" si="10"/>
        <v>630712</v>
      </c>
      <c r="I19" s="128">
        <f t="shared" si="4"/>
        <v>0.73492026377546282</v>
      </c>
      <c r="J19" s="75">
        <f t="shared" si="3"/>
        <v>2450</v>
      </c>
      <c r="K19" s="77">
        <v>0</v>
      </c>
      <c r="L19" s="77">
        <f t="shared" si="14"/>
        <v>34300</v>
      </c>
      <c r="M19" s="77">
        <f t="shared" si="11"/>
        <v>17250</v>
      </c>
      <c r="N19" s="78">
        <f t="shared" si="12"/>
        <v>0.50291545189504372</v>
      </c>
      <c r="O19" s="129">
        <v>0</v>
      </c>
      <c r="P19" s="130">
        <v>0</v>
      </c>
    </row>
    <row r="20" spans="1:16" ht="15.5" x14ac:dyDescent="0.35">
      <c r="A20" s="1">
        <v>2024</v>
      </c>
      <c r="B20" s="1">
        <v>4</v>
      </c>
      <c r="C20" s="2">
        <v>45566</v>
      </c>
      <c r="D20" s="2">
        <v>45657</v>
      </c>
      <c r="E20" s="21">
        <f t="shared" si="0"/>
        <v>61300.333333333336</v>
      </c>
      <c r="F20" s="17"/>
      <c r="G20" s="17">
        <f t="shared" si="9"/>
        <v>919505.00000000023</v>
      </c>
      <c r="H20" s="17">
        <f t="shared" si="10"/>
        <v>630712</v>
      </c>
      <c r="I20" s="124">
        <f t="shared" si="4"/>
        <v>0.68592557952376532</v>
      </c>
      <c r="J20" s="10">
        <f t="shared" si="3"/>
        <v>2450</v>
      </c>
      <c r="K20" s="123"/>
      <c r="L20" s="123">
        <f t="shared" si="14"/>
        <v>36750</v>
      </c>
      <c r="M20" s="123">
        <f t="shared" si="11"/>
        <v>17250</v>
      </c>
      <c r="N20" s="16">
        <f t="shared" si="12"/>
        <v>0.46938775510204084</v>
      </c>
      <c r="O20" s="14">
        <v>0</v>
      </c>
      <c r="P20" s="3"/>
    </row>
    <row r="21" spans="1:16" ht="15.5" x14ac:dyDescent="0.35">
      <c r="A21" s="1">
        <v>2025</v>
      </c>
      <c r="B21" s="1">
        <v>1</v>
      </c>
      <c r="C21" s="2">
        <v>45658</v>
      </c>
      <c r="D21" s="2">
        <v>45747</v>
      </c>
      <c r="E21" s="21">
        <v>0</v>
      </c>
      <c r="F21" s="17"/>
      <c r="G21" s="17">
        <f t="shared" si="9"/>
        <v>919505.00000000023</v>
      </c>
      <c r="H21" s="17">
        <f t="shared" si="10"/>
        <v>630712</v>
      </c>
      <c r="I21" s="124">
        <f t="shared" si="4"/>
        <v>0.68592557952376532</v>
      </c>
      <c r="J21" s="10">
        <v>0</v>
      </c>
      <c r="K21" s="123"/>
      <c r="L21" s="123">
        <f t="shared" si="14"/>
        <v>36750</v>
      </c>
      <c r="M21" s="123">
        <f t="shared" si="11"/>
        <v>17250</v>
      </c>
      <c r="N21" s="16">
        <f t="shared" si="12"/>
        <v>0.46938775510204084</v>
      </c>
      <c r="O21" s="14"/>
      <c r="P21" s="3"/>
    </row>
    <row r="22" spans="1:16" ht="15.5" x14ac:dyDescent="0.35">
      <c r="A22" s="1">
        <v>2025</v>
      </c>
      <c r="B22" s="1">
        <v>2</v>
      </c>
      <c r="C22" s="2">
        <v>45748</v>
      </c>
      <c r="D22" s="2">
        <v>45838</v>
      </c>
      <c r="E22" s="22">
        <v>0</v>
      </c>
      <c r="F22" s="18"/>
      <c r="G22" s="18">
        <f t="shared" si="9"/>
        <v>919505.00000000023</v>
      </c>
      <c r="H22" s="18">
        <f t="shared" si="10"/>
        <v>630712</v>
      </c>
      <c r="I22" s="24">
        <f t="shared" si="4"/>
        <v>0.68592557952376532</v>
      </c>
      <c r="J22" s="11">
        <v>0</v>
      </c>
      <c r="K22" s="4"/>
      <c r="L22" s="4">
        <f t="shared" si="14"/>
        <v>36750</v>
      </c>
      <c r="M22" s="4">
        <f t="shared" si="11"/>
        <v>17250</v>
      </c>
      <c r="N22" s="16">
        <f t="shared" si="12"/>
        <v>0.46938775510204084</v>
      </c>
      <c r="O22" s="14"/>
      <c r="P22" s="3"/>
    </row>
    <row r="23" spans="1:16" ht="15.5" x14ac:dyDescent="0.35">
      <c r="A23" s="1">
        <v>2025</v>
      </c>
      <c r="B23" s="1">
        <v>3</v>
      </c>
      <c r="C23" s="2">
        <v>45839</v>
      </c>
      <c r="D23" s="2">
        <v>45930</v>
      </c>
      <c r="E23" s="22">
        <v>0</v>
      </c>
      <c r="F23" s="18"/>
      <c r="G23" s="18">
        <f t="shared" si="9"/>
        <v>919505.00000000023</v>
      </c>
      <c r="H23" s="18">
        <f t="shared" si="10"/>
        <v>630712</v>
      </c>
      <c r="I23" s="24">
        <f t="shared" si="4"/>
        <v>0.68592557952376532</v>
      </c>
      <c r="J23" s="11">
        <v>0</v>
      </c>
      <c r="K23" s="4"/>
      <c r="L23" s="4">
        <f t="shared" si="14"/>
        <v>36750</v>
      </c>
      <c r="M23" s="4">
        <f t="shared" si="11"/>
        <v>17250</v>
      </c>
      <c r="N23" s="16">
        <f t="shared" si="12"/>
        <v>0.46938775510204084</v>
      </c>
      <c r="O23" s="14"/>
      <c r="P23" s="3"/>
    </row>
    <row r="24" spans="1:16" ht="15.5" x14ac:dyDescent="0.35">
      <c r="A24" s="1">
        <v>2025</v>
      </c>
      <c r="B24" s="1">
        <v>4</v>
      </c>
      <c r="C24" s="2">
        <v>45931</v>
      </c>
      <c r="D24" s="2">
        <v>46022</v>
      </c>
      <c r="E24" s="22">
        <v>0</v>
      </c>
      <c r="F24" s="18"/>
      <c r="G24" s="18">
        <f t="shared" si="9"/>
        <v>919505.00000000023</v>
      </c>
      <c r="H24" s="18">
        <f t="shared" si="10"/>
        <v>630712</v>
      </c>
      <c r="I24" s="24">
        <f t="shared" si="4"/>
        <v>0.68592557952376532</v>
      </c>
      <c r="J24" s="11">
        <v>0</v>
      </c>
      <c r="K24" s="4"/>
      <c r="L24" s="4">
        <f t="shared" si="14"/>
        <v>36750</v>
      </c>
      <c r="M24" s="4">
        <f t="shared" si="11"/>
        <v>17250</v>
      </c>
      <c r="N24" s="16">
        <f t="shared" si="12"/>
        <v>0.46938775510204084</v>
      </c>
      <c r="O24" s="14"/>
      <c r="P24" s="3"/>
    </row>
    <row r="25" spans="1:16" ht="15.5" x14ac:dyDescent="0.35">
      <c r="A25" s="1">
        <v>2026</v>
      </c>
      <c r="B25" s="1">
        <v>1</v>
      </c>
      <c r="C25" s="2">
        <v>46023</v>
      </c>
      <c r="D25" s="2">
        <v>46112</v>
      </c>
      <c r="E25" s="22">
        <v>0</v>
      </c>
      <c r="F25" s="18"/>
      <c r="G25" s="18">
        <f t="shared" si="9"/>
        <v>919505.00000000023</v>
      </c>
      <c r="H25" s="18">
        <f t="shared" si="10"/>
        <v>630712</v>
      </c>
      <c r="I25" s="24">
        <f>H25/G25</f>
        <v>0.68592557952376532</v>
      </c>
      <c r="J25" s="11">
        <v>0</v>
      </c>
      <c r="K25" s="4"/>
      <c r="L25" s="4">
        <f t="shared" si="14"/>
        <v>36750</v>
      </c>
      <c r="M25" s="4">
        <f t="shared" si="11"/>
        <v>17250</v>
      </c>
      <c r="N25" s="16">
        <f t="shared" si="12"/>
        <v>0.46938775510204084</v>
      </c>
      <c r="O25" s="14"/>
      <c r="P25" s="3"/>
    </row>
    <row r="26" spans="1:16" ht="15.5" x14ac:dyDescent="0.35">
      <c r="A26" s="1">
        <v>2026</v>
      </c>
      <c r="B26" s="1">
        <v>2</v>
      </c>
      <c r="C26" s="2">
        <v>46113</v>
      </c>
      <c r="D26" s="2">
        <v>46203</v>
      </c>
      <c r="E26" s="22">
        <v>0</v>
      </c>
      <c r="F26" s="18"/>
      <c r="G26" s="18">
        <f t="shared" si="9"/>
        <v>919505.00000000023</v>
      </c>
      <c r="H26" s="18">
        <f t="shared" si="10"/>
        <v>630712</v>
      </c>
      <c r="I26" s="24">
        <f t="shared" ref="I26:I27" si="15">H26/G26</f>
        <v>0.68592557952376532</v>
      </c>
      <c r="J26" s="11">
        <v>0</v>
      </c>
      <c r="K26" s="4"/>
      <c r="L26" s="4">
        <f t="shared" si="14"/>
        <v>36750</v>
      </c>
      <c r="M26" s="4">
        <f t="shared" si="11"/>
        <v>17250</v>
      </c>
      <c r="N26" s="16">
        <f t="shared" si="12"/>
        <v>0.46938775510204084</v>
      </c>
      <c r="O26" s="14"/>
      <c r="P26" s="3"/>
    </row>
    <row r="27" spans="1:16" ht="15.5" x14ac:dyDescent="0.35">
      <c r="A27" s="1">
        <v>2026</v>
      </c>
      <c r="B27" s="1">
        <v>3</v>
      </c>
      <c r="C27" s="2">
        <v>46204</v>
      </c>
      <c r="D27" s="2">
        <v>46295</v>
      </c>
      <c r="E27" s="22">
        <v>0</v>
      </c>
      <c r="F27" s="18"/>
      <c r="G27" s="18">
        <f t="shared" si="9"/>
        <v>919505.00000000023</v>
      </c>
      <c r="H27" s="18">
        <f>SUM(H26+F27)</f>
        <v>630712</v>
      </c>
      <c r="I27" s="24">
        <f t="shared" si="15"/>
        <v>0.68592557952376532</v>
      </c>
      <c r="J27" s="11">
        <v>0</v>
      </c>
      <c r="K27" s="15"/>
      <c r="L27" s="15">
        <f t="shared" si="14"/>
        <v>36750</v>
      </c>
      <c r="M27" s="15">
        <f t="shared" si="11"/>
        <v>17250</v>
      </c>
      <c r="N27" s="16">
        <f t="shared" si="12"/>
        <v>0.46938775510204084</v>
      </c>
      <c r="O27" s="14"/>
      <c r="P27" s="3"/>
    </row>
    <row r="28" spans="1:16" ht="15" thickBot="1" x14ac:dyDescent="0.4">
      <c r="A28" s="36" t="s">
        <v>12</v>
      </c>
      <c r="B28" s="36"/>
      <c r="C28" s="36"/>
      <c r="D28" s="37"/>
      <c r="E28" s="38">
        <f>919505</f>
        <v>919505</v>
      </c>
      <c r="F28" s="34">
        <f>SUM(F4:F27)</f>
        <v>630712</v>
      </c>
      <c r="G28" s="34">
        <f>G27</f>
        <v>919505.00000000023</v>
      </c>
      <c r="H28" s="35">
        <f>H27</f>
        <v>630712</v>
      </c>
      <c r="I28" s="146">
        <f>H28/G28</f>
        <v>0.68592557952376532</v>
      </c>
      <c r="J28" s="39">
        <f>37500-750</f>
        <v>36750</v>
      </c>
      <c r="K28" s="46">
        <f>SUM(K4:K27)</f>
        <v>17250</v>
      </c>
      <c r="L28" s="40">
        <f>L27</f>
        <v>36750</v>
      </c>
      <c r="M28" s="41">
        <f>M27</f>
        <v>17250</v>
      </c>
      <c r="N28" s="42">
        <f>M28/L28</f>
        <v>0.46938775510204084</v>
      </c>
      <c r="O28" s="43">
        <f>SUM(O4:O27)</f>
        <v>50</v>
      </c>
      <c r="P28" s="43">
        <f>SUM(P4:P27)</f>
        <v>27</v>
      </c>
    </row>
    <row r="29" spans="1:16" ht="15" thickTop="1" x14ac:dyDescent="0.35">
      <c r="E29" s="33"/>
      <c r="F29" s="33"/>
    </row>
    <row r="31" spans="1:16" x14ac:dyDescent="0.35">
      <c r="A31" s="216" t="s">
        <v>96</v>
      </c>
      <c r="B31" s="216"/>
      <c r="C31" s="216"/>
      <c r="D31" s="216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6"/>
      <c r="P31" s="216"/>
    </row>
    <row r="32" spans="1:16" ht="15" thickBot="1" x14ac:dyDescent="0.4">
      <c r="A32" s="202" t="s">
        <v>0</v>
      </c>
      <c r="B32" s="204"/>
      <c r="C32" s="204"/>
      <c r="D32" s="204"/>
      <c r="E32" s="193" t="s">
        <v>92</v>
      </c>
      <c r="F32" s="193"/>
      <c r="G32" s="193"/>
      <c r="H32" s="193"/>
      <c r="I32" s="194"/>
      <c r="J32" s="195" t="s">
        <v>93</v>
      </c>
      <c r="K32" s="196"/>
      <c r="L32" s="196"/>
      <c r="M32" s="196"/>
      <c r="N32" s="197"/>
      <c r="O32" s="12"/>
      <c r="P32" s="6"/>
    </row>
    <row r="33" spans="1:16" ht="58.5" thickTop="1" x14ac:dyDescent="0.35">
      <c r="A33" s="7" t="s">
        <v>1</v>
      </c>
      <c r="B33" s="7" t="s">
        <v>2</v>
      </c>
      <c r="C33" s="7" t="s">
        <v>3</v>
      </c>
      <c r="D33" s="9" t="s">
        <v>9</v>
      </c>
      <c r="E33" s="25" t="s">
        <v>4</v>
      </c>
      <c r="F33" s="20" t="s">
        <v>6</v>
      </c>
      <c r="G33" s="20" t="s">
        <v>5</v>
      </c>
      <c r="H33" s="20" t="s">
        <v>7</v>
      </c>
      <c r="I33" s="23" t="s">
        <v>8</v>
      </c>
      <c r="J33" s="25" t="s">
        <v>4</v>
      </c>
      <c r="K33" s="26" t="s">
        <v>6</v>
      </c>
      <c r="L33" s="26" t="s">
        <v>5</v>
      </c>
      <c r="M33" s="26" t="s">
        <v>7</v>
      </c>
      <c r="N33" s="27" t="s">
        <v>8</v>
      </c>
      <c r="O33" s="13" t="s">
        <v>94</v>
      </c>
      <c r="P33" s="8" t="s">
        <v>95</v>
      </c>
    </row>
    <row r="34" spans="1:16" ht="15.5" x14ac:dyDescent="0.35">
      <c r="A34" s="64">
        <v>2020</v>
      </c>
      <c r="B34" s="64">
        <v>4</v>
      </c>
      <c r="C34" s="65">
        <v>44105</v>
      </c>
      <c r="D34" s="65">
        <v>44196</v>
      </c>
      <c r="E34" s="66"/>
      <c r="F34" s="66"/>
      <c r="G34" s="66"/>
      <c r="H34" s="66"/>
      <c r="I34" s="67"/>
      <c r="J34" s="66"/>
      <c r="K34" s="66"/>
      <c r="L34" s="66"/>
      <c r="M34" s="66"/>
      <c r="N34" s="67"/>
      <c r="O34" s="68"/>
      <c r="P34" s="69"/>
    </row>
    <row r="35" spans="1:16" ht="15.5" x14ac:dyDescent="0.35">
      <c r="A35" s="64">
        <v>2021</v>
      </c>
      <c r="B35" s="64">
        <v>1</v>
      </c>
      <c r="C35" s="65">
        <v>44197</v>
      </c>
      <c r="D35" s="65">
        <v>44286</v>
      </c>
      <c r="E35" s="66"/>
      <c r="F35" s="66"/>
      <c r="G35" s="66"/>
      <c r="H35" s="66"/>
      <c r="I35" s="67"/>
      <c r="J35" s="66"/>
      <c r="K35" s="66"/>
      <c r="L35" s="66"/>
      <c r="M35" s="66"/>
      <c r="N35" s="67"/>
      <c r="O35" s="68"/>
      <c r="P35" s="69"/>
    </row>
    <row r="36" spans="1:16" ht="15.5" x14ac:dyDescent="0.35">
      <c r="A36" s="89">
        <v>2021</v>
      </c>
      <c r="B36" s="89">
        <v>2</v>
      </c>
      <c r="C36" s="90">
        <v>44287</v>
      </c>
      <c r="D36" s="90">
        <v>44377</v>
      </c>
      <c r="E36" s="100">
        <f>$E$58/6</f>
        <v>11056.333333333334</v>
      </c>
      <c r="F36" s="92">
        <v>0</v>
      </c>
      <c r="G36" s="92">
        <f>E36</f>
        <v>11056.333333333334</v>
      </c>
      <c r="H36" s="92">
        <f>SUM(F36+0)</f>
        <v>0</v>
      </c>
      <c r="I36" s="101">
        <v>0</v>
      </c>
      <c r="J36" s="102">
        <f>$J$58/6</f>
        <v>375</v>
      </c>
      <c r="K36" s="103">
        <v>0</v>
      </c>
      <c r="L36" s="104">
        <f>J36</f>
        <v>375</v>
      </c>
      <c r="M36" s="103">
        <f>SUM(K36+0)</f>
        <v>0</v>
      </c>
      <c r="N36" s="105">
        <v>0</v>
      </c>
      <c r="O36" s="109">
        <v>0</v>
      </c>
      <c r="P36" s="107">
        <v>0</v>
      </c>
    </row>
    <row r="37" spans="1:16" ht="15.5" x14ac:dyDescent="0.35">
      <c r="A37" s="64">
        <v>2021</v>
      </c>
      <c r="B37" s="64">
        <v>3</v>
      </c>
      <c r="C37" s="65">
        <v>44378</v>
      </c>
      <c r="D37" s="65">
        <v>44469</v>
      </c>
      <c r="E37" s="100">
        <f t="shared" ref="E37:E40" si="16">$E$58/6</f>
        <v>11056.333333333334</v>
      </c>
      <c r="F37" s="73">
        <v>111434</v>
      </c>
      <c r="G37" s="73">
        <f t="shared" ref="G37:G38" si="17">G36+E37</f>
        <v>22112.666666666668</v>
      </c>
      <c r="H37" s="73">
        <f t="shared" ref="H37:H41" si="18">SUM(H36+F37)</f>
        <v>111434</v>
      </c>
      <c r="I37" s="74">
        <v>0</v>
      </c>
      <c r="J37" s="102">
        <f t="shared" ref="J37:J41" si="19">$J$58/6</f>
        <v>375</v>
      </c>
      <c r="K37" s="76">
        <v>0</v>
      </c>
      <c r="L37" s="76">
        <f>L36+J37</f>
        <v>750</v>
      </c>
      <c r="M37" s="76">
        <f>SUM(M36+K37)</f>
        <v>0</v>
      </c>
      <c r="N37" s="118">
        <v>0</v>
      </c>
      <c r="O37" s="119">
        <v>0</v>
      </c>
      <c r="P37" s="68">
        <v>0</v>
      </c>
    </row>
    <row r="38" spans="1:16" ht="15.5" x14ac:dyDescent="0.35">
      <c r="A38" s="64">
        <v>2022</v>
      </c>
      <c r="B38" s="64">
        <v>4</v>
      </c>
      <c r="C38" s="65">
        <v>44470</v>
      </c>
      <c r="D38" s="65">
        <v>44561</v>
      </c>
      <c r="E38" s="100">
        <f t="shared" si="16"/>
        <v>11056.333333333334</v>
      </c>
      <c r="F38" s="73">
        <v>0</v>
      </c>
      <c r="G38" s="73">
        <f t="shared" si="17"/>
        <v>33169</v>
      </c>
      <c r="H38" s="73">
        <f t="shared" si="18"/>
        <v>111434</v>
      </c>
      <c r="I38" s="74">
        <f t="shared" ref="I38:I54" si="20">H38/G38</f>
        <v>3.3595827429226084</v>
      </c>
      <c r="J38" s="102">
        <f t="shared" si="19"/>
        <v>375</v>
      </c>
      <c r="K38" s="76">
        <v>0</v>
      </c>
      <c r="L38" s="76">
        <f t="shared" ref="L38:L41" si="21">L37+J38</f>
        <v>1125</v>
      </c>
      <c r="M38" s="76">
        <f t="shared" ref="M38:M40" si="22">SUM(M37+K38)</f>
        <v>0</v>
      </c>
      <c r="N38" s="118">
        <f t="shared" ref="N38:N41" si="23">M38/L38</f>
        <v>0</v>
      </c>
      <c r="O38" s="119">
        <v>0</v>
      </c>
      <c r="P38" s="68">
        <v>0</v>
      </c>
    </row>
    <row r="39" spans="1:16" ht="15.5" x14ac:dyDescent="0.35">
      <c r="A39" s="64">
        <v>2022</v>
      </c>
      <c r="B39" s="64">
        <v>1</v>
      </c>
      <c r="C39" s="65">
        <v>44562</v>
      </c>
      <c r="D39" s="65">
        <v>44651</v>
      </c>
      <c r="E39" s="100">
        <f t="shared" si="16"/>
        <v>11056.333333333334</v>
      </c>
      <c r="F39" s="73">
        <v>4904</v>
      </c>
      <c r="G39" s="73">
        <f>G38+E39</f>
        <v>44225.333333333336</v>
      </c>
      <c r="H39" s="73">
        <f t="shared" si="18"/>
        <v>116338</v>
      </c>
      <c r="I39" s="74">
        <f t="shared" si="20"/>
        <v>2.630573728481413</v>
      </c>
      <c r="J39" s="102">
        <f t="shared" si="19"/>
        <v>375</v>
      </c>
      <c r="K39" s="76">
        <v>0</v>
      </c>
      <c r="L39" s="76">
        <f t="shared" si="21"/>
        <v>1500</v>
      </c>
      <c r="M39" s="76">
        <f t="shared" si="22"/>
        <v>0</v>
      </c>
      <c r="N39" s="118">
        <f t="shared" si="23"/>
        <v>0</v>
      </c>
      <c r="O39" s="119">
        <v>1</v>
      </c>
      <c r="P39" s="68">
        <v>1</v>
      </c>
    </row>
    <row r="40" spans="1:16" ht="15.5" x14ac:dyDescent="0.35">
      <c r="A40" s="64">
        <v>2022</v>
      </c>
      <c r="B40" s="64">
        <v>2</v>
      </c>
      <c r="C40" s="65">
        <v>44652</v>
      </c>
      <c r="D40" s="65">
        <v>44742</v>
      </c>
      <c r="E40" s="100">
        <f t="shared" si="16"/>
        <v>11056.333333333334</v>
      </c>
      <c r="F40" s="73">
        <v>0</v>
      </c>
      <c r="G40" s="73">
        <f t="shared" ref="G40:G41" si="24">G39+E40</f>
        <v>55281.666666666672</v>
      </c>
      <c r="H40" s="73">
        <f t="shared" si="18"/>
        <v>116338</v>
      </c>
      <c r="I40" s="74">
        <f t="shared" si="20"/>
        <v>2.1044589827851303</v>
      </c>
      <c r="J40" s="102">
        <f t="shared" si="19"/>
        <v>375</v>
      </c>
      <c r="K40" s="76">
        <v>0</v>
      </c>
      <c r="L40" s="76">
        <f t="shared" si="21"/>
        <v>1875</v>
      </c>
      <c r="M40" s="76">
        <f t="shared" si="22"/>
        <v>0</v>
      </c>
      <c r="N40" s="118">
        <f t="shared" si="23"/>
        <v>0</v>
      </c>
      <c r="O40" s="119">
        <v>1</v>
      </c>
      <c r="P40" s="68">
        <v>1</v>
      </c>
    </row>
    <row r="41" spans="1:16" ht="15.5" x14ac:dyDescent="0.35">
      <c r="A41" s="64">
        <v>2022</v>
      </c>
      <c r="B41" s="64">
        <v>3</v>
      </c>
      <c r="C41" s="65">
        <v>44743</v>
      </c>
      <c r="D41" s="65">
        <v>44834</v>
      </c>
      <c r="E41" s="100">
        <f>$E$58/6</f>
        <v>11056.333333333334</v>
      </c>
      <c r="F41" s="73">
        <v>0</v>
      </c>
      <c r="G41" s="73">
        <f t="shared" si="24"/>
        <v>66338</v>
      </c>
      <c r="H41" s="73">
        <f t="shared" si="18"/>
        <v>116338</v>
      </c>
      <c r="I41" s="74">
        <f t="shared" si="20"/>
        <v>1.753715818987609</v>
      </c>
      <c r="J41" s="102">
        <f t="shared" si="19"/>
        <v>375</v>
      </c>
      <c r="K41" s="76">
        <v>2250</v>
      </c>
      <c r="L41" s="76">
        <f t="shared" si="21"/>
        <v>2250</v>
      </c>
      <c r="M41" s="76">
        <f>SUM(M40+K41)</f>
        <v>2250</v>
      </c>
      <c r="N41" s="118">
        <f t="shared" si="23"/>
        <v>1</v>
      </c>
      <c r="O41" s="119">
        <v>1</v>
      </c>
      <c r="P41" s="68">
        <v>1</v>
      </c>
    </row>
    <row r="42" spans="1:16" ht="15.5" x14ac:dyDescent="0.35">
      <c r="A42" s="64">
        <v>2022</v>
      </c>
      <c r="B42" s="64">
        <v>4</v>
      </c>
      <c r="C42" s="65">
        <v>44835</v>
      </c>
      <c r="D42" s="65">
        <v>44926</v>
      </c>
      <c r="E42" s="72"/>
      <c r="F42" s="73">
        <v>-50000</v>
      </c>
      <c r="G42" s="73">
        <f>G41+E42</f>
        <v>66338</v>
      </c>
      <c r="H42" s="73">
        <f>SUM(H41+F42)</f>
        <v>66338</v>
      </c>
      <c r="I42" s="74">
        <f t="shared" si="20"/>
        <v>1</v>
      </c>
      <c r="J42" s="75"/>
      <c r="K42" s="76"/>
      <c r="L42" s="76">
        <f>L41+J42</f>
        <v>2250</v>
      </c>
      <c r="M42" s="76">
        <f>SUM(M41+K42)</f>
        <v>2250</v>
      </c>
      <c r="N42" s="118">
        <f>M42/L42</f>
        <v>1</v>
      </c>
      <c r="O42" s="119"/>
      <c r="P42" s="68"/>
    </row>
    <row r="43" spans="1:16" ht="15.5" x14ac:dyDescent="0.35">
      <c r="A43" s="64">
        <v>2023</v>
      </c>
      <c r="B43" s="64">
        <v>1</v>
      </c>
      <c r="C43" s="65">
        <v>44927</v>
      </c>
      <c r="D43" s="65">
        <v>45016</v>
      </c>
      <c r="E43" s="72"/>
      <c r="F43" s="73"/>
      <c r="G43" s="73">
        <f t="shared" ref="G43:G57" si="25">G42+E43</f>
        <v>66338</v>
      </c>
      <c r="H43" s="73">
        <f t="shared" ref="H43:H56" si="26">SUM(H42+F43)</f>
        <v>66338</v>
      </c>
      <c r="I43" s="74">
        <f t="shared" si="20"/>
        <v>1</v>
      </c>
      <c r="J43" s="75"/>
      <c r="K43" s="76"/>
      <c r="L43" s="76">
        <f>L42+J43</f>
        <v>2250</v>
      </c>
      <c r="M43" s="76">
        <f t="shared" ref="M43:M57" si="27">SUM(M42+K43)</f>
        <v>2250</v>
      </c>
      <c r="N43" s="118">
        <f t="shared" ref="N43:N57" si="28">M43/L43</f>
        <v>1</v>
      </c>
      <c r="O43" s="119"/>
      <c r="P43" s="68"/>
    </row>
    <row r="44" spans="1:16" ht="15.5" x14ac:dyDescent="0.35">
      <c r="A44" s="64">
        <v>2023</v>
      </c>
      <c r="B44" s="64">
        <v>2</v>
      </c>
      <c r="C44" s="65">
        <v>45017</v>
      </c>
      <c r="D44" s="65">
        <v>45107</v>
      </c>
      <c r="E44" s="72"/>
      <c r="F44" s="73"/>
      <c r="G44" s="73">
        <f t="shared" si="25"/>
        <v>66338</v>
      </c>
      <c r="H44" s="73">
        <f t="shared" si="26"/>
        <v>66338</v>
      </c>
      <c r="I44" s="74">
        <f t="shared" si="20"/>
        <v>1</v>
      </c>
      <c r="J44" s="75"/>
      <c r="K44" s="76"/>
      <c r="L44" s="76">
        <f t="shared" ref="L44" si="29">L43+J44</f>
        <v>2250</v>
      </c>
      <c r="M44" s="76">
        <f t="shared" si="27"/>
        <v>2250</v>
      </c>
      <c r="N44" s="118">
        <f t="shared" si="28"/>
        <v>1</v>
      </c>
      <c r="O44" s="119"/>
      <c r="P44" s="68"/>
    </row>
    <row r="45" spans="1:16" ht="15.5" x14ac:dyDescent="0.35">
      <c r="A45" s="64">
        <v>2023</v>
      </c>
      <c r="B45" s="64">
        <v>3</v>
      </c>
      <c r="C45" s="65">
        <v>45108</v>
      </c>
      <c r="D45" s="65">
        <v>45199</v>
      </c>
      <c r="E45" s="100"/>
      <c r="F45" s="73"/>
      <c r="G45" s="73">
        <f t="shared" si="25"/>
        <v>66338</v>
      </c>
      <c r="H45" s="73">
        <f t="shared" si="26"/>
        <v>66338</v>
      </c>
      <c r="I45" s="74">
        <f t="shared" si="20"/>
        <v>1</v>
      </c>
      <c r="J45" s="75"/>
      <c r="K45" s="76"/>
      <c r="L45" s="76">
        <f>L44+J45</f>
        <v>2250</v>
      </c>
      <c r="M45" s="76">
        <f t="shared" si="27"/>
        <v>2250</v>
      </c>
      <c r="N45" s="118">
        <f t="shared" si="28"/>
        <v>1</v>
      </c>
      <c r="O45" s="119"/>
      <c r="P45" s="68"/>
    </row>
    <row r="46" spans="1:16" ht="15.5" x14ac:dyDescent="0.35">
      <c r="A46" s="64">
        <v>2023</v>
      </c>
      <c r="B46" s="64">
        <v>4</v>
      </c>
      <c r="C46" s="65">
        <v>45200</v>
      </c>
      <c r="D46" s="65">
        <v>45291</v>
      </c>
      <c r="E46" s="72"/>
      <c r="F46" s="73"/>
      <c r="G46" s="73">
        <f t="shared" si="25"/>
        <v>66338</v>
      </c>
      <c r="H46" s="73">
        <f t="shared" si="26"/>
        <v>66338</v>
      </c>
      <c r="I46" s="74">
        <f t="shared" si="20"/>
        <v>1</v>
      </c>
      <c r="J46" s="75"/>
      <c r="K46" s="76"/>
      <c r="L46" s="76">
        <f t="shared" ref="L46:L57" si="30">L45+J46</f>
        <v>2250</v>
      </c>
      <c r="M46" s="76">
        <f t="shared" si="27"/>
        <v>2250</v>
      </c>
      <c r="N46" s="118">
        <f t="shared" si="28"/>
        <v>1</v>
      </c>
      <c r="O46" s="119"/>
      <c r="P46" s="68"/>
    </row>
    <row r="47" spans="1:16" ht="15.5" x14ac:dyDescent="0.35">
      <c r="A47" s="64">
        <v>2024</v>
      </c>
      <c r="B47" s="64">
        <v>1</v>
      </c>
      <c r="C47" s="65">
        <v>45292</v>
      </c>
      <c r="D47" s="65">
        <v>45382</v>
      </c>
      <c r="E47" s="72"/>
      <c r="F47" s="73"/>
      <c r="G47" s="73">
        <f t="shared" si="25"/>
        <v>66338</v>
      </c>
      <c r="H47" s="73">
        <f t="shared" si="26"/>
        <v>66338</v>
      </c>
      <c r="I47" s="74">
        <f t="shared" si="20"/>
        <v>1</v>
      </c>
      <c r="J47" s="75"/>
      <c r="K47" s="76"/>
      <c r="L47" s="76">
        <f t="shared" si="30"/>
        <v>2250</v>
      </c>
      <c r="M47" s="76">
        <f t="shared" si="27"/>
        <v>2250</v>
      </c>
      <c r="N47" s="118">
        <f t="shared" si="28"/>
        <v>1</v>
      </c>
      <c r="O47" s="119"/>
      <c r="P47" s="68"/>
    </row>
    <row r="48" spans="1:16" ht="15.5" x14ac:dyDescent="0.35">
      <c r="A48" s="64">
        <v>2024</v>
      </c>
      <c r="B48" s="64">
        <v>2</v>
      </c>
      <c r="C48" s="65">
        <v>45383</v>
      </c>
      <c r="D48" s="65">
        <v>45473</v>
      </c>
      <c r="E48" s="72"/>
      <c r="F48" s="73"/>
      <c r="G48" s="73">
        <f t="shared" si="25"/>
        <v>66338</v>
      </c>
      <c r="H48" s="73">
        <f t="shared" si="26"/>
        <v>66338</v>
      </c>
      <c r="I48" s="74">
        <f t="shared" si="20"/>
        <v>1</v>
      </c>
      <c r="J48" s="75"/>
      <c r="K48" s="76"/>
      <c r="L48" s="76">
        <f t="shared" si="30"/>
        <v>2250</v>
      </c>
      <c r="M48" s="76">
        <f t="shared" si="27"/>
        <v>2250</v>
      </c>
      <c r="N48" s="118">
        <f t="shared" si="28"/>
        <v>1</v>
      </c>
      <c r="O48" s="119"/>
      <c r="P48" s="68"/>
    </row>
    <row r="49" spans="1:16" ht="15.5" x14ac:dyDescent="0.35">
      <c r="A49" s="64">
        <v>2024</v>
      </c>
      <c r="B49" s="64">
        <v>3</v>
      </c>
      <c r="C49" s="65">
        <v>45474</v>
      </c>
      <c r="D49" s="65">
        <v>45565</v>
      </c>
      <c r="E49" s="72"/>
      <c r="F49" s="73"/>
      <c r="G49" s="73">
        <f t="shared" si="25"/>
        <v>66338</v>
      </c>
      <c r="H49" s="73">
        <f t="shared" si="26"/>
        <v>66338</v>
      </c>
      <c r="I49" s="128">
        <f t="shared" si="20"/>
        <v>1</v>
      </c>
      <c r="J49" s="75"/>
      <c r="K49" s="77"/>
      <c r="L49" s="77">
        <f t="shared" si="30"/>
        <v>2250</v>
      </c>
      <c r="M49" s="77">
        <f t="shared" si="27"/>
        <v>2250</v>
      </c>
      <c r="N49" s="78">
        <f t="shared" si="28"/>
        <v>1</v>
      </c>
      <c r="O49" s="129"/>
      <c r="P49" s="130"/>
    </row>
    <row r="50" spans="1:16" ht="15.5" x14ac:dyDescent="0.35">
      <c r="A50" s="64">
        <v>2024</v>
      </c>
      <c r="B50" s="64">
        <v>4</v>
      </c>
      <c r="C50" s="65">
        <v>45566</v>
      </c>
      <c r="D50" s="65">
        <v>45657</v>
      </c>
      <c r="E50" s="72"/>
      <c r="F50" s="73"/>
      <c r="G50" s="73">
        <f t="shared" si="25"/>
        <v>66338</v>
      </c>
      <c r="H50" s="73">
        <f t="shared" si="26"/>
        <v>66338</v>
      </c>
      <c r="I50" s="128">
        <f t="shared" si="20"/>
        <v>1</v>
      </c>
      <c r="J50" s="75"/>
      <c r="K50" s="77"/>
      <c r="L50" s="77">
        <f t="shared" si="30"/>
        <v>2250</v>
      </c>
      <c r="M50" s="77">
        <f t="shared" si="27"/>
        <v>2250</v>
      </c>
      <c r="N50" s="78">
        <f t="shared" si="28"/>
        <v>1</v>
      </c>
      <c r="O50" s="131"/>
      <c r="P50" s="130"/>
    </row>
    <row r="51" spans="1:16" ht="15.5" x14ac:dyDescent="0.35">
      <c r="A51" s="64">
        <v>2025</v>
      </c>
      <c r="B51" s="64">
        <v>1</v>
      </c>
      <c r="C51" s="65">
        <v>45658</v>
      </c>
      <c r="D51" s="65">
        <v>45747</v>
      </c>
      <c r="E51" s="72"/>
      <c r="F51" s="73"/>
      <c r="G51" s="73">
        <f t="shared" si="25"/>
        <v>66338</v>
      </c>
      <c r="H51" s="73">
        <f t="shared" si="26"/>
        <v>66338</v>
      </c>
      <c r="I51" s="128">
        <f t="shared" si="20"/>
        <v>1</v>
      </c>
      <c r="J51" s="75"/>
      <c r="K51" s="77"/>
      <c r="L51" s="77">
        <f t="shared" si="30"/>
        <v>2250</v>
      </c>
      <c r="M51" s="77">
        <f t="shared" si="27"/>
        <v>2250</v>
      </c>
      <c r="N51" s="78">
        <f t="shared" si="28"/>
        <v>1</v>
      </c>
      <c r="O51" s="131"/>
      <c r="P51" s="130"/>
    </row>
    <row r="52" spans="1:16" ht="15.5" x14ac:dyDescent="0.35">
      <c r="A52" s="64">
        <v>2025</v>
      </c>
      <c r="B52" s="64">
        <v>2</v>
      </c>
      <c r="C52" s="65">
        <v>45748</v>
      </c>
      <c r="D52" s="65">
        <v>45838</v>
      </c>
      <c r="E52" s="72"/>
      <c r="F52" s="73"/>
      <c r="G52" s="73">
        <f t="shared" si="25"/>
        <v>66338</v>
      </c>
      <c r="H52" s="73">
        <f t="shared" si="26"/>
        <v>66338</v>
      </c>
      <c r="I52" s="128">
        <f t="shared" si="20"/>
        <v>1</v>
      </c>
      <c r="J52" s="75"/>
      <c r="K52" s="77"/>
      <c r="L52" s="77">
        <f t="shared" si="30"/>
        <v>2250</v>
      </c>
      <c r="M52" s="77">
        <f t="shared" si="27"/>
        <v>2250</v>
      </c>
      <c r="N52" s="78">
        <f t="shared" si="28"/>
        <v>1</v>
      </c>
      <c r="O52" s="131"/>
      <c r="P52" s="130"/>
    </row>
    <row r="53" spans="1:16" ht="15.5" x14ac:dyDescent="0.35">
      <c r="A53" s="64">
        <v>2025</v>
      </c>
      <c r="B53" s="64">
        <v>3</v>
      </c>
      <c r="C53" s="65">
        <v>45839</v>
      </c>
      <c r="D53" s="65">
        <v>45930</v>
      </c>
      <c r="E53" s="72"/>
      <c r="F53" s="73"/>
      <c r="G53" s="73">
        <f t="shared" si="25"/>
        <v>66338</v>
      </c>
      <c r="H53" s="73">
        <f t="shared" si="26"/>
        <v>66338</v>
      </c>
      <c r="I53" s="128">
        <f t="shared" si="20"/>
        <v>1</v>
      </c>
      <c r="J53" s="75"/>
      <c r="K53" s="77"/>
      <c r="L53" s="77">
        <f t="shared" si="30"/>
        <v>2250</v>
      </c>
      <c r="M53" s="77">
        <f t="shared" si="27"/>
        <v>2250</v>
      </c>
      <c r="N53" s="78">
        <f t="shared" si="28"/>
        <v>1</v>
      </c>
      <c r="O53" s="131"/>
      <c r="P53" s="130"/>
    </row>
    <row r="54" spans="1:16" ht="15.5" x14ac:dyDescent="0.35">
      <c r="A54" s="64">
        <v>2025</v>
      </c>
      <c r="B54" s="64">
        <v>4</v>
      </c>
      <c r="C54" s="65">
        <v>45931</v>
      </c>
      <c r="D54" s="65">
        <v>46022</v>
      </c>
      <c r="E54" s="72"/>
      <c r="F54" s="73"/>
      <c r="G54" s="73">
        <f t="shared" si="25"/>
        <v>66338</v>
      </c>
      <c r="H54" s="73">
        <f t="shared" si="26"/>
        <v>66338</v>
      </c>
      <c r="I54" s="128">
        <f t="shared" si="20"/>
        <v>1</v>
      </c>
      <c r="J54" s="75"/>
      <c r="K54" s="77"/>
      <c r="L54" s="77">
        <f t="shared" si="30"/>
        <v>2250</v>
      </c>
      <c r="M54" s="77">
        <f t="shared" si="27"/>
        <v>2250</v>
      </c>
      <c r="N54" s="78">
        <f t="shared" si="28"/>
        <v>1</v>
      </c>
      <c r="O54" s="131"/>
      <c r="P54" s="130"/>
    </row>
    <row r="55" spans="1:16" ht="15.5" x14ac:dyDescent="0.35">
      <c r="A55" s="64">
        <v>2026</v>
      </c>
      <c r="B55" s="64">
        <v>1</v>
      </c>
      <c r="C55" s="65">
        <v>46023</v>
      </c>
      <c r="D55" s="65">
        <v>46112</v>
      </c>
      <c r="E55" s="72"/>
      <c r="F55" s="73"/>
      <c r="G55" s="73">
        <f t="shared" si="25"/>
        <v>66338</v>
      </c>
      <c r="H55" s="73">
        <f t="shared" si="26"/>
        <v>66338</v>
      </c>
      <c r="I55" s="128">
        <f>H55/G55</f>
        <v>1</v>
      </c>
      <c r="J55" s="75"/>
      <c r="K55" s="77"/>
      <c r="L55" s="77">
        <f t="shared" si="30"/>
        <v>2250</v>
      </c>
      <c r="M55" s="77">
        <f t="shared" si="27"/>
        <v>2250</v>
      </c>
      <c r="N55" s="78">
        <f t="shared" si="28"/>
        <v>1</v>
      </c>
      <c r="O55" s="131"/>
      <c r="P55" s="130"/>
    </row>
    <row r="56" spans="1:16" ht="15.5" x14ac:dyDescent="0.35">
      <c r="A56" s="64">
        <v>2026</v>
      </c>
      <c r="B56" s="64">
        <v>2</v>
      </c>
      <c r="C56" s="65">
        <v>46113</v>
      </c>
      <c r="D56" s="65">
        <v>46203</v>
      </c>
      <c r="E56" s="72"/>
      <c r="F56" s="73"/>
      <c r="G56" s="73">
        <f t="shared" si="25"/>
        <v>66338</v>
      </c>
      <c r="H56" s="73">
        <f t="shared" si="26"/>
        <v>66338</v>
      </c>
      <c r="I56" s="128">
        <f t="shared" ref="I56:I57" si="31">H56/G56</f>
        <v>1</v>
      </c>
      <c r="J56" s="75"/>
      <c r="K56" s="77"/>
      <c r="L56" s="77">
        <f t="shared" si="30"/>
        <v>2250</v>
      </c>
      <c r="M56" s="77">
        <f t="shared" si="27"/>
        <v>2250</v>
      </c>
      <c r="N56" s="78">
        <f t="shared" si="28"/>
        <v>1</v>
      </c>
      <c r="O56" s="131"/>
      <c r="P56" s="130"/>
    </row>
    <row r="57" spans="1:16" ht="15.5" x14ac:dyDescent="0.35">
      <c r="A57" s="64">
        <v>2026</v>
      </c>
      <c r="B57" s="64">
        <v>3</v>
      </c>
      <c r="C57" s="65">
        <v>46204</v>
      </c>
      <c r="D57" s="65">
        <v>46295</v>
      </c>
      <c r="E57" s="72"/>
      <c r="F57" s="73"/>
      <c r="G57" s="73">
        <f t="shared" si="25"/>
        <v>66338</v>
      </c>
      <c r="H57" s="73">
        <f>SUM(H56+F57)</f>
        <v>66338</v>
      </c>
      <c r="I57" s="128">
        <f t="shared" si="31"/>
        <v>1</v>
      </c>
      <c r="J57" s="75"/>
      <c r="K57" s="132"/>
      <c r="L57" s="132">
        <f t="shared" si="30"/>
        <v>2250</v>
      </c>
      <c r="M57" s="132">
        <f t="shared" si="27"/>
        <v>2250</v>
      </c>
      <c r="N57" s="78">
        <f t="shared" si="28"/>
        <v>1</v>
      </c>
      <c r="O57" s="131"/>
      <c r="P57" s="130"/>
    </row>
    <row r="58" spans="1:16" ht="15" thickBot="1" x14ac:dyDescent="0.4">
      <c r="A58" s="133" t="s">
        <v>12</v>
      </c>
      <c r="B58" s="133"/>
      <c r="C58" s="133"/>
      <c r="D58" s="134"/>
      <c r="E58" s="135">
        <v>66338</v>
      </c>
      <c r="F58" s="136">
        <f>SUM(F34:F57)</f>
        <v>66338</v>
      </c>
      <c r="G58" s="136">
        <f>G57</f>
        <v>66338</v>
      </c>
      <c r="H58" s="137">
        <f>H57</f>
        <v>66338</v>
      </c>
      <c r="I58" s="144">
        <f>H58/G58</f>
        <v>1</v>
      </c>
      <c r="J58" s="138">
        <v>2250</v>
      </c>
      <c r="K58" s="139">
        <f>SUM(K34:K57)</f>
        <v>2250</v>
      </c>
      <c r="L58" s="140">
        <f>L57</f>
        <v>2250</v>
      </c>
      <c r="M58" s="141">
        <f>M57</f>
        <v>2250</v>
      </c>
      <c r="N58" s="142">
        <f>M58/L58</f>
        <v>1</v>
      </c>
      <c r="O58" s="143">
        <f>SUM(O34:O57)</f>
        <v>3</v>
      </c>
      <c r="P58" s="143">
        <f>SUM(P34:P57)</f>
        <v>3</v>
      </c>
    </row>
    <row r="59" spans="1:16" ht="15" thickTop="1" x14ac:dyDescent="0.35">
      <c r="E59" s="33">
        <f>E58+J58</f>
        <v>68588</v>
      </c>
    </row>
    <row r="60" spans="1:16" x14ac:dyDescent="0.35">
      <c r="E60" s="33"/>
    </row>
    <row r="61" spans="1:16" x14ac:dyDescent="0.35">
      <c r="A61" s="216" t="s">
        <v>97</v>
      </c>
      <c r="B61" s="216"/>
      <c r="C61" s="216"/>
      <c r="D61" s="216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6"/>
      <c r="P61" s="216"/>
    </row>
    <row r="62" spans="1:16" ht="15" thickBot="1" x14ac:dyDescent="0.4">
      <c r="A62" s="202" t="s">
        <v>0</v>
      </c>
      <c r="B62" s="204"/>
      <c r="C62" s="204"/>
      <c r="D62" s="204"/>
      <c r="E62" s="193" t="s">
        <v>92</v>
      </c>
      <c r="F62" s="193"/>
      <c r="G62" s="193"/>
      <c r="H62" s="193"/>
      <c r="I62" s="194"/>
      <c r="J62" s="195" t="s">
        <v>93</v>
      </c>
      <c r="K62" s="196"/>
      <c r="L62" s="196"/>
      <c r="M62" s="196"/>
      <c r="N62" s="197"/>
      <c r="O62" s="12"/>
      <c r="P62" s="6"/>
    </row>
    <row r="63" spans="1:16" ht="58.5" thickTop="1" x14ac:dyDescent="0.35">
      <c r="A63" s="7" t="s">
        <v>1</v>
      </c>
      <c r="B63" s="7" t="s">
        <v>2</v>
      </c>
      <c r="C63" s="7" t="s">
        <v>3</v>
      </c>
      <c r="D63" s="9" t="s">
        <v>9</v>
      </c>
      <c r="E63" s="25" t="s">
        <v>4</v>
      </c>
      <c r="F63" s="20" t="s">
        <v>6</v>
      </c>
      <c r="G63" s="20" t="s">
        <v>5</v>
      </c>
      <c r="H63" s="20" t="s">
        <v>7</v>
      </c>
      <c r="I63" s="23" t="s">
        <v>8</v>
      </c>
      <c r="J63" s="25" t="s">
        <v>4</v>
      </c>
      <c r="K63" s="26" t="s">
        <v>6</v>
      </c>
      <c r="L63" s="26" t="s">
        <v>5</v>
      </c>
      <c r="M63" s="26" t="s">
        <v>7</v>
      </c>
      <c r="N63" s="27" t="s">
        <v>8</v>
      </c>
      <c r="O63" s="13" t="s">
        <v>94</v>
      </c>
      <c r="P63" s="8" t="s">
        <v>95</v>
      </c>
    </row>
    <row r="64" spans="1:16" ht="15.5" x14ac:dyDescent="0.35">
      <c r="A64" s="64">
        <v>2020</v>
      </c>
      <c r="B64" s="64">
        <v>4</v>
      </c>
      <c r="C64" s="65">
        <v>44105</v>
      </c>
      <c r="D64" s="65">
        <v>44196</v>
      </c>
      <c r="E64" s="66"/>
      <c r="F64" s="66"/>
      <c r="G64" s="66"/>
      <c r="H64" s="66"/>
      <c r="I64" s="67"/>
      <c r="J64" s="66"/>
      <c r="K64" s="66"/>
      <c r="L64" s="66"/>
      <c r="M64" s="66"/>
      <c r="N64" s="67"/>
      <c r="O64" s="68"/>
      <c r="P64" s="69"/>
    </row>
    <row r="65" spans="1:16" ht="15.5" x14ac:dyDescent="0.35">
      <c r="A65" s="64">
        <v>2021</v>
      </c>
      <c r="B65" s="64">
        <v>1</v>
      </c>
      <c r="C65" s="65">
        <v>44197</v>
      </c>
      <c r="D65" s="65">
        <v>44286</v>
      </c>
      <c r="E65" s="66"/>
      <c r="F65" s="66"/>
      <c r="G65" s="66"/>
      <c r="H65" s="66"/>
      <c r="I65" s="67"/>
      <c r="J65" s="66"/>
      <c r="K65" s="66"/>
      <c r="L65" s="66"/>
      <c r="M65" s="66"/>
      <c r="N65" s="67"/>
      <c r="O65" s="68"/>
      <c r="P65" s="69"/>
    </row>
    <row r="66" spans="1:16" ht="15.5" x14ac:dyDescent="0.35">
      <c r="A66" s="89">
        <v>2021</v>
      </c>
      <c r="B66" s="89">
        <v>2</v>
      </c>
      <c r="C66" s="90">
        <v>44287</v>
      </c>
      <c r="D66" s="90">
        <v>44377</v>
      </c>
      <c r="E66" s="100">
        <f t="shared" ref="E66:E74" si="32">$E$88/9</f>
        <v>18852.111111111109</v>
      </c>
      <c r="F66" s="92">
        <v>0</v>
      </c>
      <c r="G66" s="92">
        <f>E66</f>
        <v>18852.111111111109</v>
      </c>
      <c r="H66" s="92">
        <f>SUM(F66+0)</f>
        <v>0</v>
      </c>
      <c r="I66" s="101">
        <v>0</v>
      </c>
      <c r="J66" s="102">
        <f t="shared" ref="J66:J74" si="33">$J$88/9</f>
        <v>1333.3333333333333</v>
      </c>
      <c r="K66" s="103">
        <v>0</v>
      </c>
      <c r="L66" s="104">
        <f>J66</f>
        <v>1333.3333333333333</v>
      </c>
      <c r="M66" s="103">
        <f>SUM(K66+0)</f>
        <v>0</v>
      </c>
      <c r="N66" s="105">
        <v>0</v>
      </c>
      <c r="O66" s="109">
        <v>3</v>
      </c>
      <c r="P66" s="107">
        <v>0</v>
      </c>
    </row>
    <row r="67" spans="1:16" ht="15.5" x14ac:dyDescent="0.35">
      <c r="A67" s="64">
        <v>2021</v>
      </c>
      <c r="B67" s="64">
        <v>3</v>
      </c>
      <c r="C67" s="65">
        <v>44378</v>
      </c>
      <c r="D67" s="65">
        <v>44469</v>
      </c>
      <c r="E67" s="100">
        <f t="shared" si="32"/>
        <v>18852.111111111109</v>
      </c>
      <c r="F67" s="73">
        <v>152726</v>
      </c>
      <c r="G67" s="73">
        <f t="shared" ref="G67:G68" si="34">G66+E67</f>
        <v>37704.222222222219</v>
      </c>
      <c r="H67" s="73">
        <f t="shared" ref="H67:H71" si="35">SUM(H66+F67)</f>
        <v>152726</v>
      </c>
      <c r="I67" s="74">
        <v>0</v>
      </c>
      <c r="J67" s="102">
        <f t="shared" si="33"/>
        <v>1333.3333333333333</v>
      </c>
      <c r="K67" s="76">
        <v>12000</v>
      </c>
      <c r="L67" s="76">
        <f>L66+J67</f>
        <v>2666.6666666666665</v>
      </c>
      <c r="M67" s="76">
        <f>SUM(M66+K67)</f>
        <v>12000</v>
      </c>
      <c r="N67" s="118">
        <v>0</v>
      </c>
      <c r="O67" s="119">
        <v>3</v>
      </c>
      <c r="P67" s="68">
        <v>9</v>
      </c>
    </row>
    <row r="68" spans="1:16" ht="15.5" x14ac:dyDescent="0.35">
      <c r="A68" s="64">
        <v>2022</v>
      </c>
      <c r="B68" s="64">
        <v>4</v>
      </c>
      <c r="C68" s="65">
        <v>44470</v>
      </c>
      <c r="D68" s="65">
        <v>44561</v>
      </c>
      <c r="E68" s="100">
        <f t="shared" si="32"/>
        <v>18852.111111111109</v>
      </c>
      <c r="F68" s="73">
        <v>12421</v>
      </c>
      <c r="G68" s="73">
        <f t="shared" si="34"/>
        <v>56556.333333333328</v>
      </c>
      <c r="H68" s="73">
        <f t="shared" si="35"/>
        <v>165147</v>
      </c>
      <c r="I68" s="74">
        <f t="shared" ref="I68:I84" si="36">H68/G68</f>
        <v>2.9200443215908622</v>
      </c>
      <c r="J68" s="102">
        <f t="shared" si="33"/>
        <v>1333.3333333333333</v>
      </c>
      <c r="K68" s="76">
        <v>0</v>
      </c>
      <c r="L68" s="76">
        <f t="shared" ref="L68:L71" si="37">L67+J68</f>
        <v>4000</v>
      </c>
      <c r="M68" s="76">
        <f t="shared" ref="M68:M70" si="38">SUM(M67+K68)</f>
        <v>12000</v>
      </c>
      <c r="N68" s="118">
        <f t="shared" ref="N68:N71" si="39">M68/L68</f>
        <v>3</v>
      </c>
      <c r="O68" s="119">
        <v>2</v>
      </c>
      <c r="P68" s="68">
        <v>7</v>
      </c>
    </row>
    <row r="69" spans="1:16" ht="15.5" x14ac:dyDescent="0.35">
      <c r="A69" s="64">
        <v>2022</v>
      </c>
      <c r="B69" s="64">
        <v>1</v>
      </c>
      <c r="C69" s="65">
        <v>44562</v>
      </c>
      <c r="D69" s="65">
        <v>44651</v>
      </c>
      <c r="E69" s="100">
        <f t="shared" si="32"/>
        <v>18852.111111111109</v>
      </c>
      <c r="F69" s="73">
        <v>11642</v>
      </c>
      <c r="G69" s="73">
        <f>G68+E69</f>
        <v>75408.444444444438</v>
      </c>
      <c r="H69" s="73">
        <f t="shared" si="35"/>
        <v>176789</v>
      </c>
      <c r="I69" s="74">
        <f t="shared" si="36"/>
        <v>2.3444191337250766</v>
      </c>
      <c r="J69" s="102">
        <f t="shared" si="33"/>
        <v>1333.3333333333333</v>
      </c>
      <c r="K69" s="76">
        <v>0</v>
      </c>
      <c r="L69" s="76">
        <f t="shared" si="37"/>
        <v>5333.333333333333</v>
      </c>
      <c r="M69" s="76">
        <f t="shared" si="38"/>
        <v>12000</v>
      </c>
      <c r="N69" s="118">
        <f t="shared" si="39"/>
        <v>2.25</v>
      </c>
      <c r="O69" s="119">
        <v>2</v>
      </c>
      <c r="P69" s="68">
        <v>0</v>
      </c>
    </row>
    <row r="70" spans="1:16" ht="15.5" x14ac:dyDescent="0.35">
      <c r="A70" s="64">
        <v>2022</v>
      </c>
      <c r="B70" s="64">
        <v>2</v>
      </c>
      <c r="C70" s="65">
        <v>44652</v>
      </c>
      <c r="D70" s="65">
        <v>44742</v>
      </c>
      <c r="E70" s="100">
        <f t="shared" si="32"/>
        <v>18852.111111111109</v>
      </c>
      <c r="F70" s="73">
        <v>0</v>
      </c>
      <c r="G70" s="73">
        <f t="shared" ref="G70:G71" si="40">G69+E70</f>
        <v>94260.555555555547</v>
      </c>
      <c r="H70" s="73">
        <f t="shared" si="35"/>
        <v>176789</v>
      </c>
      <c r="I70" s="74">
        <f t="shared" si="36"/>
        <v>1.8755353069800613</v>
      </c>
      <c r="J70" s="102">
        <f t="shared" si="33"/>
        <v>1333.3333333333333</v>
      </c>
      <c r="K70" s="76">
        <v>0</v>
      </c>
      <c r="L70" s="76">
        <f t="shared" si="37"/>
        <v>6666.6666666666661</v>
      </c>
      <c r="M70" s="76">
        <f t="shared" si="38"/>
        <v>12000</v>
      </c>
      <c r="N70" s="118">
        <f t="shared" si="39"/>
        <v>1.8000000000000003</v>
      </c>
      <c r="O70" s="119">
        <v>2</v>
      </c>
      <c r="P70" s="68">
        <v>0</v>
      </c>
    </row>
    <row r="71" spans="1:16" ht="15.5" x14ac:dyDescent="0.35">
      <c r="A71" s="64">
        <v>2022</v>
      </c>
      <c r="B71" s="64">
        <v>3</v>
      </c>
      <c r="C71" s="65">
        <v>44743</v>
      </c>
      <c r="D71" s="65">
        <v>44834</v>
      </c>
      <c r="E71" s="100">
        <f t="shared" si="32"/>
        <v>18852.111111111109</v>
      </c>
      <c r="F71" s="73">
        <v>0</v>
      </c>
      <c r="G71" s="73">
        <f t="shared" si="40"/>
        <v>113112.66666666666</v>
      </c>
      <c r="H71" s="73">
        <f t="shared" si="35"/>
        <v>176789</v>
      </c>
      <c r="I71" s="74">
        <f t="shared" si="36"/>
        <v>1.5629460891500511</v>
      </c>
      <c r="J71" s="102">
        <f t="shared" si="33"/>
        <v>1333.3333333333333</v>
      </c>
      <c r="K71" s="76">
        <v>0</v>
      </c>
      <c r="L71" s="76">
        <f t="shared" si="37"/>
        <v>7999.9999999999991</v>
      </c>
      <c r="M71" s="76">
        <f>SUM(M70+K71)</f>
        <v>12000</v>
      </c>
      <c r="N71" s="118">
        <f t="shared" si="39"/>
        <v>1.5000000000000002</v>
      </c>
      <c r="O71" s="119">
        <v>2</v>
      </c>
      <c r="P71" s="68">
        <v>0</v>
      </c>
    </row>
    <row r="72" spans="1:16" ht="15.5" x14ac:dyDescent="0.35">
      <c r="A72" s="64">
        <v>2022</v>
      </c>
      <c r="B72" s="64">
        <v>4</v>
      </c>
      <c r="C72" s="65">
        <v>44835</v>
      </c>
      <c r="D72" s="65">
        <v>44926</v>
      </c>
      <c r="E72" s="100">
        <f t="shared" si="32"/>
        <v>18852.111111111109</v>
      </c>
      <c r="F72" s="73">
        <v>-7120</v>
      </c>
      <c r="G72" s="73">
        <f>G71+E72</f>
        <v>131964.77777777775</v>
      </c>
      <c r="H72" s="73">
        <f>SUM(H71+F72)</f>
        <v>169669</v>
      </c>
      <c r="I72" s="74">
        <f t="shared" si="36"/>
        <v>1.285714285714286</v>
      </c>
      <c r="J72" s="102">
        <f t="shared" si="33"/>
        <v>1333.3333333333333</v>
      </c>
      <c r="K72" s="76">
        <v>0</v>
      </c>
      <c r="L72" s="76">
        <f>L71+J72</f>
        <v>9333.3333333333321</v>
      </c>
      <c r="M72" s="76">
        <f>SUM(M71+K72)</f>
        <v>12000</v>
      </c>
      <c r="N72" s="118">
        <f>M72/L72</f>
        <v>1.2857142857142858</v>
      </c>
      <c r="O72" s="119">
        <v>2</v>
      </c>
      <c r="P72" s="68">
        <v>0</v>
      </c>
    </row>
    <row r="73" spans="1:16" ht="15.5" x14ac:dyDescent="0.35">
      <c r="A73" s="64">
        <v>2023</v>
      </c>
      <c r="B73" s="64">
        <v>1</v>
      </c>
      <c r="C73" s="65">
        <v>44927</v>
      </c>
      <c r="D73" s="65">
        <v>45016</v>
      </c>
      <c r="E73" s="100">
        <f t="shared" si="32"/>
        <v>18852.111111111109</v>
      </c>
      <c r="F73" s="73"/>
      <c r="G73" s="73">
        <f t="shared" ref="G73:G87" si="41">G72+E73</f>
        <v>150816.88888888888</v>
      </c>
      <c r="H73" s="73">
        <f t="shared" ref="H73:H86" si="42">SUM(H72+F73)</f>
        <v>169669</v>
      </c>
      <c r="I73" s="74">
        <f t="shared" si="36"/>
        <v>1.125</v>
      </c>
      <c r="J73" s="102">
        <f t="shared" si="33"/>
        <v>1333.3333333333333</v>
      </c>
      <c r="K73" s="76">
        <v>0</v>
      </c>
      <c r="L73" s="76">
        <f>L72+J73</f>
        <v>10666.666666666666</v>
      </c>
      <c r="M73" s="76">
        <f t="shared" ref="M73:M87" si="43">SUM(M72+K73)</f>
        <v>12000</v>
      </c>
      <c r="N73" s="118">
        <f t="shared" ref="N73:N87" si="44">M73/L73</f>
        <v>1.125</v>
      </c>
      <c r="O73" s="119">
        <v>1</v>
      </c>
      <c r="P73" s="68">
        <v>0</v>
      </c>
    </row>
    <row r="74" spans="1:16" ht="15.5" x14ac:dyDescent="0.35">
      <c r="A74" s="64">
        <v>2023</v>
      </c>
      <c r="B74" s="64">
        <v>2</v>
      </c>
      <c r="C74" s="65">
        <v>45017</v>
      </c>
      <c r="D74" s="65">
        <v>45107</v>
      </c>
      <c r="E74" s="100">
        <f t="shared" si="32"/>
        <v>18852.111111111109</v>
      </c>
      <c r="F74" s="73"/>
      <c r="G74" s="73">
        <f t="shared" si="41"/>
        <v>169669</v>
      </c>
      <c r="H74" s="73">
        <f t="shared" si="42"/>
        <v>169669</v>
      </c>
      <c r="I74" s="74">
        <f t="shared" si="36"/>
        <v>1</v>
      </c>
      <c r="J74" s="102">
        <f t="shared" si="33"/>
        <v>1333.3333333333333</v>
      </c>
      <c r="K74" s="76">
        <v>0</v>
      </c>
      <c r="L74" s="76">
        <f t="shared" ref="L74" si="45">L73+J74</f>
        <v>12000</v>
      </c>
      <c r="M74" s="76">
        <f t="shared" si="43"/>
        <v>12000</v>
      </c>
      <c r="N74" s="118">
        <f t="shared" si="44"/>
        <v>1</v>
      </c>
      <c r="O74" s="119">
        <v>0</v>
      </c>
      <c r="P74" s="68">
        <v>0</v>
      </c>
    </row>
    <row r="75" spans="1:16" ht="15.5" x14ac:dyDescent="0.35">
      <c r="A75" s="64">
        <v>2023</v>
      </c>
      <c r="B75" s="64">
        <v>3</v>
      </c>
      <c r="C75" s="65">
        <v>45108</v>
      </c>
      <c r="D75" s="65">
        <v>45199</v>
      </c>
      <c r="E75" s="100"/>
      <c r="F75" s="73"/>
      <c r="G75" s="73">
        <f t="shared" si="41"/>
        <v>169669</v>
      </c>
      <c r="H75" s="73">
        <f t="shared" si="42"/>
        <v>169669</v>
      </c>
      <c r="I75" s="74">
        <f t="shared" si="36"/>
        <v>1</v>
      </c>
      <c r="J75" s="75"/>
      <c r="K75" s="76"/>
      <c r="L75" s="76">
        <f>L74+J75</f>
        <v>12000</v>
      </c>
      <c r="M75" s="76">
        <f t="shared" si="43"/>
        <v>12000</v>
      </c>
      <c r="N75" s="118">
        <f t="shared" si="44"/>
        <v>1</v>
      </c>
      <c r="O75" s="119"/>
      <c r="P75" s="68"/>
    </row>
    <row r="76" spans="1:16" ht="15.5" x14ac:dyDescent="0.35">
      <c r="A76" s="64">
        <v>2023</v>
      </c>
      <c r="B76" s="64">
        <v>4</v>
      </c>
      <c r="C76" s="65">
        <v>45200</v>
      </c>
      <c r="D76" s="65">
        <v>45291</v>
      </c>
      <c r="E76" s="72"/>
      <c r="F76" s="73"/>
      <c r="G76" s="73">
        <f t="shared" si="41"/>
        <v>169669</v>
      </c>
      <c r="H76" s="73">
        <f t="shared" si="42"/>
        <v>169669</v>
      </c>
      <c r="I76" s="74">
        <f t="shared" si="36"/>
        <v>1</v>
      </c>
      <c r="J76" s="75"/>
      <c r="K76" s="76"/>
      <c r="L76" s="76">
        <f t="shared" ref="L76:L87" si="46">L75+J76</f>
        <v>12000</v>
      </c>
      <c r="M76" s="76">
        <f t="shared" si="43"/>
        <v>12000</v>
      </c>
      <c r="N76" s="118">
        <f t="shared" si="44"/>
        <v>1</v>
      </c>
      <c r="O76" s="119"/>
      <c r="P76" s="68"/>
    </row>
    <row r="77" spans="1:16" ht="15.5" x14ac:dyDescent="0.35">
      <c r="A77" s="64">
        <v>2024</v>
      </c>
      <c r="B77" s="64">
        <v>1</v>
      </c>
      <c r="C77" s="65">
        <v>45292</v>
      </c>
      <c r="D77" s="65">
        <v>45382</v>
      </c>
      <c r="E77" s="72"/>
      <c r="F77" s="73"/>
      <c r="G77" s="73">
        <f t="shared" si="41"/>
        <v>169669</v>
      </c>
      <c r="H77" s="73">
        <f t="shared" si="42"/>
        <v>169669</v>
      </c>
      <c r="I77" s="74">
        <f t="shared" si="36"/>
        <v>1</v>
      </c>
      <c r="J77" s="75"/>
      <c r="K77" s="76"/>
      <c r="L77" s="76">
        <f t="shared" si="46"/>
        <v>12000</v>
      </c>
      <c r="M77" s="76">
        <f t="shared" si="43"/>
        <v>12000</v>
      </c>
      <c r="N77" s="118">
        <f t="shared" si="44"/>
        <v>1</v>
      </c>
      <c r="O77" s="119"/>
      <c r="P77" s="68"/>
    </row>
    <row r="78" spans="1:16" ht="15.5" x14ac:dyDescent="0.35">
      <c r="A78" s="64">
        <v>2024</v>
      </c>
      <c r="B78" s="64">
        <v>2</v>
      </c>
      <c r="C78" s="65">
        <v>45383</v>
      </c>
      <c r="D78" s="65">
        <v>45473</v>
      </c>
      <c r="E78" s="72"/>
      <c r="F78" s="73"/>
      <c r="G78" s="73">
        <f t="shared" si="41"/>
        <v>169669</v>
      </c>
      <c r="H78" s="73">
        <f t="shared" si="42"/>
        <v>169669</v>
      </c>
      <c r="I78" s="74">
        <f t="shared" si="36"/>
        <v>1</v>
      </c>
      <c r="J78" s="75"/>
      <c r="K78" s="76"/>
      <c r="L78" s="76">
        <f t="shared" si="46"/>
        <v>12000</v>
      </c>
      <c r="M78" s="76">
        <f t="shared" si="43"/>
        <v>12000</v>
      </c>
      <c r="N78" s="118">
        <f t="shared" si="44"/>
        <v>1</v>
      </c>
      <c r="O78" s="119"/>
      <c r="P78" s="68"/>
    </row>
    <row r="79" spans="1:16" ht="15.5" x14ac:dyDescent="0.35">
      <c r="A79" s="64">
        <v>2024</v>
      </c>
      <c r="B79" s="64">
        <v>3</v>
      </c>
      <c r="C79" s="65">
        <v>45474</v>
      </c>
      <c r="D79" s="65">
        <v>45565</v>
      </c>
      <c r="E79" s="72"/>
      <c r="F79" s="73"/>
      <c r="G79" s="73">
        <f t="shared" si="41"/>
        <v>169669</v>
      </c>
      <c r="H79" s="73">
        <f t="shared" si="42"/>
        <v>169669</v>
      </c>
      <c r="I79" s="128">
        <f t="shared" si="36"/>
        <v>1</v>
      </c>
      <c r="J79" s="75"/>
      <c r="K79" s="77"/>
      <c r="L79" s="77">
        <f t="shared" si="46"/>
        <v>12000</v>
      </c>
      <c r="M79" s="77">
        <f t="shared" si="43"/>
        <v>12000</v>
      </c>
      <c r="N79" s="78">
        <f t="shared" si="44"/>
        <v>1</v>
      </c>
      <c r="O79" s="129"/>
      <c r="P79" s="130"/>
    </row>
    <row r="80" spans="1:16" ht="15.5" x14ac:dyDescent="0.35">
      <c r="A80" s="64">
        <v>2024</v>
      </c>
      <c r="B80" s="64">
        <v>4</v>
      </c>
      <c r="C80" s="65">
        <v>45566</v>
      </c>
      <c r="D80" s="65">
        <v>45657</v>
      </c>
      <c r="E80" s="72"/>
      <c r="F80" s="73"/>
      <c r="G80" s="73">
        <f t="shared" si="41"/>
        <v>169669</v>
      </c>
      <c r="H80" s="73">
        <f t="shared" si="42"/>
        <v>169669</v>
      </c>
      <c r="I80" s="128">
        <f t="shared" si="36"/>
        <v>1</v>
      </c>
      <c r="J80" s="75"/>
      <c r="K80" s="77"/>
      <c r="L80" s="77">
        <f t="shared" si="46"/>
        <v>12000</v>
      </c>
      <c r="M80" s="77">
        <f t="shared" si="43"/>
        <v>12000</v>
      </c>
      <c r="N80" s="78">
        <f t="shared" si="44"/>
        <v>1</v>
      </c>
      <c r="O80" s="131"/>
      <c r="P80" s="130"/>
    </row>
    <row r="81" spans="1:16" ht="15.5" x14ac:dyDescent="0.35">
      <c r="A81" s="64">
        <v>2025</v>
      </c>
      <c r="B81" s="64">
        <v>1</v>
      </c>
      <c r="C81" s="65">
        <v>45658</v>
      </c>
      <c r="D81" s="65">
        <v>45747</v>
      </c>
      <c r="E81" s="72"/>
      <c r="F81" s="73"/>
      <c r="G81" s="73">
        <f t="shared" si="41"/>
        <v>169669</v>
      </c>
      <c r="H81" s="73">
        <f t="shared" si="42"/>
        <v>169669</v>
      </c>
      <c r="I81" s="128">
        <f t="shared" si="36"/>
        <v>1</v>
      </c>
      <c r="J81" s="75"/>
      <c r="K81" s="77"/>
      <c r="L81" s="77">
        <f t="shared" si="46"/>
        <v>12000</v>
      </c>
      <c r="M81" s="77">
        <f t="shared" si="43"/>
        <v>12000</v>
      </c>
      <c r="N81" s="78">
        <f t="shared" si="44"/>
        <v>1</v>
      </c>
      <c r="O81" s="131"/>
      <c r="P81" s="130"/>
    </row>
    <row r="82" spans="1:16" ht="15.5" x14ac:dyDescent="0.35">
      <c r="A82" s="64">
        <v>2025</v>
      </c>
      <c r="B82" s="64">
        <v>2</v>
      </c>
      <c r="C82" s="65">
        <v>45748</v>
      </c>
      <c r="D82" s="65">
        <v>45838</v>
      </c>
      <c r="E82" s="72"/>
      <c r="F82" s="73"/>
      <c r="G82" s="73">
        <f t="shared" si="41"/>
        <v>169669</v>
      </c>
      <c r="H82" s="73">
        <f t="shared" si="42"/>
        <v>169669</v>
      </c>
      <c r="I82" s="128">
        <f t="shared" si="36"/>
        <v>1</v>
      </c>
      <c r="J82" s="75"/>
      <c r="K82" s="77"/>
      <c r="L82" s="77">
        <f t="shared" si="46"/>
        <v>12000</v>
      </c>
      <c r="M82" s="77">
        <f t="shared" si="43"/>
        <v>12000</v>
      </c>
      <c r="N82" s="78">
        <f t="shared" si="44"/>
        <v>1</v>
      </c>
      <c r="O82" s="131"/>
      <c r="P82" s="130"/>
    </row>
    <row r="83" spans="1:16" ht="15.5" x14ac:dyDescent="0.35">
      <c r="A83" s="64">
        <v>2025</v>
      </c>
      <c r="B83" s="64">
        <v>3</v>
      </c>
      <c r="C83" s="65">
        <v>45839</v>
      </c>
      <c r="D83" s="65">
        <v>45930</v>
      </c>
      <c r="E83" s="72"/>
      <c r="F83" s="73"/>
      <c r="G83" s="73">
        <f t="shared" si="41"/>
        <v>169669</v>
      </c>
      <c r="H83" s="73">
        <f t="shared" si="42"/>
        <v>169669</v>
      </c>
      <c r="I83" s="128">
        <f t="shared" si="36"/>
        <v>1</v>
      </c>
      <c r="J83" s="75"/>
      <c r="K83" s="77"/>
      <c r="L83" s="77">
        <f t="shared" si="46"/>
        <v>12000</v>
      </c>
      <c r="M83" s="77">
        <f t="shared" si="43"/>
        <v>12000</v>
      </c>
      <c r="N83" s="78">
        <f t="shared" si="44"/>
        <v>1</v>
      </c>
      <c r="O83" s="131"/>
      <c r="P83" s="130"/>
    </row>
    <row r="84" spans="1:16" ht="15.5" x14ac:dyDescent="0.35">
      <c r="A84" s="64">
        <v>2025</v>
      </c>
      <c r="B84" s="64">
        <v>4</v>
      </c>
      <c r="C84" s="65">
        <v>45931</v>
      </c>
      <c r="D84" s="65">
        <v>46022</v>
      </c>
      <c r="E84" s="72"/>
      <c r="F84" s="73"/>
      <c r="G84" s="73">
        <f t="shared" si="41"/>
        <v>169669</v>
      </c>
      <c r="H84" s="73">
        <f t="shared" si="42"/>
        <v>169669</v>
      </c>
      <c r="I84" s="128">
        <f t="shared" si="36"/>
        <v>1</v>
      </c>
      <c r="J84" s="75"/>
      <c r="K84" s="77"/>
      <c r="L84" s="77">
        <f t="shared" si="46"/>
        <v>12000</v>
      </c>
      <c r="M84" s="77">
        <f t="shared" si="43"/>
        <v>12000</v>
      </c>
      <c r="N84" s="78">
        <f t="shared" si="44"/>
        <v>1</v>
      </c>
      <c r="O84" s="131"/>
      <c r="P84" s="130"/>
    </row>
    <row r="85" spans="1:16" ht="15.5" x14ac:dyDescent="0.35">
      <c r="A85" s="64">
        <v>2026</v>
      </c>
      <c r="B85" s="64">
        <v>1</v>
      </c>
      <c r="C85" s="65">
        <v>46023</v>
      </c>
      <c r="D85" s="65">
        <v>46112</v>
      </c>
      <c r="E85" s="72"/>
      <c r="F85" s="73"/>
      <c r="G85" s="73">
        <f t="shared" si="41"/>
        <v>169669</v>
      </c>
      <c r="H85" s="73">
        <f t="shared" si="42"/>
        <v>169669</v>
      </c>
      <c r="I85" s="128">
        <f>H85/G85</f>
        <v>1</v>
      </c>
      <c r="J85" s="75"/>
      <c r="K85" s="77"/>
      <c r="L85" s="77">
        <f t="shared" si="46"/>
        <v>12000</v>
      </c>
      <c r="M85" s="77">
        <f t="shared" si="43"/>
        <v>12000</v>
      </c>
      <c r="N85" s="78">
        <f t="shared" si="44"/>
        <v>1</v>
      </c>
      <c r="O85" s="131"/>
      <c r="P85" s="130"/>
    </row>
    <row r="86" spans="1:16" ht="15.5" x14ac:dyDescent="0.35">
      <c r="A86" s="64">
        <v>2026</v>
      </c>
      <c r="B86" s="64">
        <v>2</v>
      </c>
      <c r="C86" s="65">
        <v>46113</v>
      </c>
      <c r="D86" s="65">
        <v>46203</v>
      </c>
      <c r="E86" s="72"/>
      <c r="F86" s="73"/>
      <c r="G86" s="73">
        <f t="shared" si="41"/>
        <v>169669</v>
      </c>
      <c r="H86" s="73">
        <f t="shared" si="42"/>
        <v>169669</v>
      </c>
      <c r="I86" s="128">
        <f t="shared" ref="I86:I87" si="47">H86/G86</f>
        <v>1</v>
      </c>
      <c r="J86" s="75"/>
      <c r="K86" s="77"/>
      <c r="L86" s="77">
        <f t="shared" si="46"/>
        <v>12000</v>
      </c>
      <c r="M86" s="77">
        <f t="shared" si="43"/>
        <v>12000</v>
      </c>
      <c r="N86" s="78">
        <f t="shared" si="44"/>
        <v>1</v>
      </c>
      <c r="O86" s="131"/>
      <c r="P86" s="130"/>
    </row>
    <row r="87" spans="1:16" ht="15.5" x14ac:dyDescent="0.35">
      <c r="A87" s="64">
        <v>2026</v>
      </c>
      <c r="B87" s="64">
        <v>3</v>
      </c>
      <c r="C87" s="65">
        <v>46204</v>
      </c>
      <c r="D87" s="65">
        <v>46295</v>
      </c>
      <c r="E87" s="72"/>
      <c r="F87" s="73"/>
      <c r="G87" s="73">
        <f t="shared" si="41"/>
        <v>169669</v>
      </c>
      <c r="H87" s="73">
        <f>SUM(H86+F87)</f>
        <v>169669</v>
      </c>
      <c r="I87" s="128">
        <f t="shared" si="47"/>
        <v>1</v>
      </c>
      <c r="J87" s="75"/>
      <c r="K87" s="132"/>
      <c r="L87" s="132">
        <f t="shared" si="46"/>
        <v>12000</v>
      </c>
      <c r="M87" s="132">
        <f t="shared" si="43"/>
        <v>12000</v>
      </c>
      <c r="N87" s="78">
        <f t="shared" si="44"/>
        <v>1</v>
      </c>
      <c r="O87" s="131"/>
      <c r="P87" s="130"/>
    </row>
    <row r="88" spans="1:16" ht="15" thickBot="1" x14ac:dyDescent="0.4">
      <c r="A88" s="133" t="s">
        <v>12</v>
      </c>
      <c r="B88" s="133"/>
      <c r="C88" s="133"/>
      <c r="D88" s="134"/>
      <c r="E88" s="135">
        <v>169669</v>
      </c>
      <c r="F88" s="136">
        <f>SUM(F64:F87)</f>
        <v>169669</v>
      </c>
      <c r="G88" s="136">
        <f>G87</f>
        <v>169669</v>
      </c>
      <c r="H88" s="137">
        <f>H87</f>
        <v>169669</v>
      </c>
      <c r="I88" s="144">
        <f>H88/G88</f>
        <v>1</v>
      </c>
      <c r="J88" s="138">
        <v>12000</v>
      </c>
      <c r="K88" s="139">
        <f>SUM(K64:K87)</f>
        <v>12000</v>
      </c>
      <c r="L88" s="140">
        <f>L87</f>
        <v>12000</v>
      </c>
      <c r="M88" s="141">
        <f>M87</f>
        <v>12000</v>
      </c>
      <c r="N88" s="142">
        <f>M88/L88</f>
        <v>1</v>
      </c>
      <c r="O88" s="143">
        <f>SUM(O64:O87)</f>
        <v>17</v>
      </c>
      <c r="P88" s="143">
        <f>SUM(P64:P87)</f>
        <v>16</v>
      </c>
    </row>
    <row r="89" spans="1:16" ht="15" thickTop="1" x14ac:dyDescent="0.35">
      <c r="E89" s="33">
        <f>E88+J88</f>
        <v>181669</v>
      </c>
    </row>
    <row r="90" spans="1:16" x14ac:dyDescent="0.35">
      <c r="E90" s="33"/>
    </row>
    <row r="91" spans="1:16" x14ac:dyDescent="0.35">
      <c r="A91" s="216" t="s">
        <v>131</v>
      </c>
      <c r="B91" s="216"/>
      <c r="C91" s="216"/>
      <c r="D91" s="216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6"/>
      <c r="P91" s="216"/>
    </row>
    <row r="92" spans="1:16" ht="15" thickBot="1" x14ac:dyDescent="0.4">
      <c r="A92" s="202" t="s">
        <v>0</v>
      </c>
      <c r="B92" s="204"/>
      <c r="C92" s="204"/>
      <c r="D92" s="204"/>
      <c r="E92" s="193" t="s">
        <v>92</v>
      </c>
      <c r="F92" s="193"/>
      <c r="G92" s="193"/>
      <c r="H92" s="193"/>
      <c r="I92" s="194"/>
      <c r="J92" s="195" t="s">
        <v>93</v>
      </c>
      <c r="K92" s="196"/>
      <c r="L92" s="196"/>
      <c r="M92" s="196"/>
      <c r="N92" s="197"/>
      <c r="O92" s="12"/>
      <c r="P92" s="6"/>
    </row>
    <row r="93" spans="1:16" ht="58.5" thickTop="1" x14ac:dyDescent="0.35">
      <c r="A93" s="7" t="s">
        <v>1</v>
      </c>
      <c r="B93" s="7" t="s">
        <v>2</v>
      </c>
      <c r="C93" s="7" t="s">
        <v>3</v>
      </c>
      <c r="D93" s="9" t="s">
        <v>9</v>
      </c>
      <c r="E93" s="25" t="s">
        <v>4</v>
      </c>
      <c r="F93" s="20" t="s">
        <v>6</v>
      </c>
      <c r="G93" s="20" t="s">
        <v>5</v>
      </c>
      <c r="H93" s="20" t="s">
        <v>7</v>
      </c>
      <c r="I93" s="23" t="s">
        <v>8</v>
      </c>
      <c r="J93" s="25" t="s">
        <v>4</v>
      </c>
      <c r="K93" s="26" t="s">
        <v>6</v>
      </c>
      <c r="L93" s="26" t="s">
        <v>5</v>
      </c>
      <c r="M93" s="26" t="s">
        <v>7</v>
      </c>
      <c r="N93" s="27" t="s">
        <v>8</v>
      </c>
      <c r="O93" s="13" t="s">
        <v>94</v>
      </c>
      <c r="P93" s="8" t="s">
        <v>95</v>
      </c>
    </row>
    <row r="94" spans="1:16" ht="15.5" x14ac:dyDescent="0.35">
      <c r="A94" s="64">
        <v>2020</v>
      </c>
      <c r="B94" s="64">
        <v>4</v>
      </c>
      <c r="C94" s="65">
        <v>44105</v>
      </c>
      <c r="D94" s="65">
        <v>44196</v>
      </c>
      <c r="E94" s="66"/>
      <c r="F94" s="66"/>
      <c r="G94" s="66"/>
      <c r="H94" s="66"/>
      <c r="I94" s="67"/>
      <c r="J94" s="66"/>
      <c r="K94" s="66"/>
      <c r="L94" s="66"/>
      <c r="M94" s="66"/>
      <c r="N94" s="67"/>
      <c r="O94" s="68"/>
      <c r="P94" s="69"/>
    </row>
    <row r="95" spans="1:16" ht="15.5" x14ac:dyDescent="0.35">
      <c r="A95" s="64">
        <v>2021</v>
      </c>
      <c r="B95" s="64">
        <v>1</v>
      </c>
      <c r="C95" s="65">
        <v>44197</v>
      </c>
      <c r="D95" s="65">
        <v>44286</v>
      </c>
      <c r="E95" s="66"/>
      <c r="F95" s="66"/>
      <c r="G95" s="66"/>
      <c r="H95" s="66"/>
      <c r="I95" s="67"/>
      <c r="J95" s="66"/>
      <c r="K95" s="66"/>
      <c r="L95" s="66"/>
      <c r="M95" s="66"/>
      <c r="N95" s="67"/>
      <c r="O95" s="68"/>
      <c r="P95" s="69"/>
    </row>
    <row r="96" spans="1:16" ht="15.5" x14ac:dyDescent="0.35">
      <c r="A96" s="89">
        <v>2021</v>
      </c>
      <c r="B96" s="89">
        <v>2</v>
      </c>
      <c r="C96" s="90">
        <v>44287</v>
      </c>
      <c r="D96" s="90">
        <v>44377</v>
      </c>
      <c r="E96" s="100">
        <f>$E$118/5</f>
        <v>113948.2</v>
      </c>
      <c r="F96" s="92">
        <v>0</v>
      </c>
      <c r="G96" s="92">
        <f>E96</f>
        <v>113948.2</v>
      </c>
      <c r="H96" s="92">
        <f>SUM(F96+0)</f>
        <v>0</v>
      </c>
      <c r="I96" s="101">
        <v>0</v>
      </c>
      <c r="J96" s="102">
        <f>$J$118/5</f>
        <v>1800</v>
      </c>
      <c r="K96" s="103">
        <v>0</v>
      </c>
      <c r="L96" s="104">
        <f>J96</f>
        <v>1800</v>
      </c>
      <c r="M96" s="103">
        <f>SUM(K96+0)</f>
        <v>0</v>
      </c>
      <c r="N96" s="105">
        <v>0</v>
      </c>
      <c r="O96" s="109">
        <v>4</v>
      </c>
      <c r="P96" s="107">
        <v>0</v>
      </c>
    </row>
    <row r="97" spans="1:16" ht="15.5" x14ac:dyDescent="0.35">
      <c r="A97" s="64">
        <v>2021</v>
      </c>
      <c r="B97" s="64">
        <v>3</v>
      </c>
      <c r="C97" s="65">
        <v>44378</v>
      </c>
      <c r="D97" s="65">
        <v>44469</v>
      </c>
      <c r="E97" s="100">
        <f t="shared" ref="E97:E100" si="48">$E$118/5</f>
        <v>113948.2</v>
      </c>
      <c r="F97" s="73">
        <v>556007</v>
      </c>
      <c r="G97" s="73">
        <f t="shared" ref="G97:G98" si="49">G96+E97</f>
        <v>227896.4</v>
      </c>
      <c r="H97" s="73">
        <f t="shared" ref="H97:H101" si="50">SUM(H96+F97)</f>
        <v>556007</v>
      </c>
      <c r="I97" s="74">
        <v>0</v>
      </c>
      <c r="J97" s="102">
        <f t="shared" ref="J97:J100" si="51">$J$118/5</f>
        <v>1800</v>
      </c>
      <c r="K97" s="76">
        <v>9000</v>
      </c>
      <c r="L97" s="76">
        <f>L96+J97</f>
        <v>3600</v>
      </c>
      <c r="M97" s="76">
        <f>SUM(M96+K97)</f>
        <v>9000</v>
      </c>
      <c r="N97" s="118">
        <v>0</v>
      </c>
      <c r="O97" s="119">
        <v>2</v>
      </c>
      <c r="P97" s="68">
        <v>10</v>
      </c>
    </row>
    <row r="98" spans="1:16" ht="15.5" x14ac:dyDescent="0.35">
      <c r="A98" s="64">
        <v>2022</v>
      </c>
      <c r="B98" s="64">
        <v>4</v>
      </c>
      <c r="C98" s="65">
        <v>44470</v>
      </c>
      <c r="D98" s="65">
        <v>44561</v>
      </c>
      <c r="E98" s="100">
        <f t="shared" si="48"/>
        <v>113948.2</v>
      </c>
      <c r="F98" s="73">
        <v>0</v>
      </c>
      <c r="G98" s="73">
        <f t="shared" si="49"/>
        <v>341844.6</v>
      </c>
      <c r="H98" s="73">
        <f t="shared" si="50"/>
        <v>556007</v>
      </c>
      <c r="I98" s="74">
        <f t="shared" ref="I98:I114" si="52">H98/G98</f>
        <v>1.6264905164510426</v>
      </c>
      <c r="J98" s="102">
        <f t="shared" si="51"/>
        <v>1800</v>
      </c>
      <c r="K98" s="76">
        <v>0</v>
      </c>
      <c r="L98" s="76">
        <f t="shared" ref="L98:L101" si="53">L97+J98</f>
        <v>5400</v>
      </c>
      <c r="M98" s="76">
        <f t="shared" ref="M98:M100" si="54">SUM(M97+K98)</f>
        <v>9000</v>
      </c>
      <c r="N98" s="118">
        <f t="shared" ref="N98:N101" si="55">M98/L98</f>
        <v>1.6666666666666667</v>
      </c>
      <c r="O98" s="119">
        <v>3</v>
      </c>
      <c r="P98" s="68">
        <v>1</v>
      </c>
    </row>
    <row r="99" spans="1:16" ht="15.5" x14ac:dyDescent="0.35">
      <c r="A99" s="64">
        <v>2022</v>
      </c>
      <c r="B99" s="64">
        <v>1</v>
      </c>
      <c r="C99" s="65">
        <v>44562</v>
      </c>
      <c r="D99" s="65">
        <v>44651</v>
      </c>
      <c r="E99" s="100">
        <f t="shared" si="48"/>
        <v>113948.2</v>
      </c>
      <c r="F99" s="73">
        <v>9390</v>
      </c>
      <c r="G99" s="73">
        <f>G98+E99</f>
        <v>455792.8</v>
      </c>
      <c r="H99" s="73">
        <f t="shared" si="50"/>
        <v>565397</v>
      </c>
      <c r="I99" s="74">
        <f t="shared" si="52"/>
        <v>1.240469353618574</v>
      </c>
      <c r="J99" s="102">
        <f t="shared" si="51"/>
        <v>1800</v>
      </c>
      <c r="K99" s="76">
        <v>0</v>
      </c>
      <c r="L99" s="76">
        <f t="shared" si="53"/>
        <v>7200</v>
      </c>
      <c r="M99" s="76">
        <f t="shared" si="54"/>
        <v>9000</v>
      </c>
      <c r="N99" s="118">
        <f t="shared" si="55"/>
        <v>1.25</v>
      </c>
      <c r="O99" s="119">
        <v>3</v>
      </c>
      <c r="P99" s="68">
        <v>0</v>
      </c>
    </row>
    <row r="100" spans="1:16" ht="15.5" x14ac:dyDescent="0.35">
      <c r="A100" s="64">
        <v>2022</v>
      </c>
      <c r="B100" s="64">
        <v>2</v>
      </c>
      <c r="C100" s="65">
        <v>44652</v>
      </c>
      <c r="D100" s="65">
        <v>44742</v>
      </c>
      <c r="E100" s="100">
        <f t="shared" si="48"/>
        <v>113948.2</v>
      </c>
      <c r="F100" s="73">
        <v>4344</v>
      </c>
      <c r="G100" s="73">
        <f t="shared" ref="G100:G101" si="56">G99+E100</f>
        <v>569741</v>
      </c>
      <c r="H100" s="73">
        <f t="shared" si="50"/>
        <v>569741</v>
      </c>
      <c r="I100" s="74">
        <f t="shared" si="52"/>
        <v>1</v>
      </c>
      <c r="J100" s="102">
        <f t="shared" si="51"/>
        <v>1800</v>
      </c>
      <c r="K100" s="76">
        <v>0</v>
      </c>
      <c r="L100" s="76">
        <f t="shared" si="53"/>
        <v>9000</v>
      </c>
      <c r="M100" s="76">
        <f t="shared" si="54"/>
        <v>9000</v>
      </c>
      <c r="N100" s="118">
        <f t="shared" si="55"/>
        <v>1</v>
      </c>
      <c r="O100" s="119">
        <v>2</v>
      </c>
      <c r="P100" s="68">
        <v>1</v>
      </c>
    </row>
    <row r="101" spans="1:16" ht="15.5" x14ac:dyDescent="0.35">
      <c r="A101" s="64">
        <v>2022</v>
      </c>
      <c r="B101" s="64">
        <v>3</v>
      </c>
      <c r="C101" s="65">
        <v>44743</v>
      </c>
      <c r="D101" s="65">
        <v>44834</v>
      </c>
      <c r="E101" s="100"/>
      <c r="F101" s="73"/>
      <c r="G101" s="73">
        <f t="shared" si="56"/>
        <v>569741</v>
      </c>
      <c r="H101" s="73">
        <f t="shared" si="50"/>
        <v>569741</v>
      </c>
      <c r="I101" s="74">
        <f t="shared" si="52"/>
        <v>1</v>
      </c>
      <c r="J101" s="102"/>
      <c r="K101" s="76"/>
      <c r="L101" s="76">
        <f t="shared" si="53"/>
        <v>9000</v>
      </c>
      <c r="M101" s="76">
        <f>SUM(M100+K101)</f>
        <v>9000</v>
      </c>
      <c r="N101" s="118">
        <f t="shared" si="55"/>
        <v>1</v>
      </c>
      <c r="O101" s="119"/>
      <c r="P101" s="68"/>
    </row>
    <row r="102" spans="1:16" ht="15.5" x14ac:dyDescent="0.35">
      <c r="A102" s="64">
        <v>2022</v>
      </c>
      <c r="B102" s="64">
        <v>4</v>
      </c>
      <c r="C102" s="65">
        <v>44835</v>
      </c>
      <c r="D102" s="65">
        <v>44926</v>
      </c>
      <c r="E102" s="100"/>
      <c r="F102" s="73"/>
      <c r="G102" s="73">
        <f>G101+E102</f>
        <v>569741</v>
      </c>
      <c r="H102" s="73">
        <f>SUM(H101+F102)</f>
        <v>569741</v>
      </c>
      <c r="I102" s="74">
        <f t="shared" si="52"/>
        <v>1</v>
      </c>
      <c r="J102" s="102"/>
      <c r="K102" s="76"/>
      <c r="L102" s="76">
        <f>L101+J102</f>
        <v>9000</v>
      </c>
      <c r="M102" s="76">
        <f>SUM(M101+K102)</f>
        <v>9000</v>
      </c>
      <c r="N102" s="118">
        <f>M102/L102</f>
        <v>1</v>
      </c>
      <c r="O102" s="119"/>
      <c r="P102" s="68"/>
    </row>
    <row r="103" spans="1:16" ht="15.5" x14ac:dyDescent="0.35">
      <c r="A103" s="64">
        <v>2023</v>
      </c>
      <c r="B103" s="64">
        <v>1</v>
      </c>
      <c r="C103" s="65">
        <v>44927</v>
      </c>
      <c r="D103" s="65">
        <v>45016</v>
      </c>
      <c r="E103" s="100"/>
      <c r="F103" s="73"/>
      <c r="G103" s="73">
        <f t="shared" ref="G103:G117" si="57">G102+E103</f>
        <v>569741</v>
      </c>
      <c r="H103" s="73">
        <f t="shared" ref="H103:H116" si="58">SUM(H102+F103)</f>
        <v>569741</v>
      </c>
      <c r="I103" s="74">
        <f t="shared" si="52"/>
        <v>1</v>
      </c>
      <c r="J103" s="102"/>
      <c r="K103" s="76"/>
      <c r="L103" s="76">
        <f>L102+J103</f>
        <v>9000</v>
      </c>
      <c r="M103" s="76">
        <f t="shared" ref="M103:M117" si="59">SUM(M102+K103)</f>
        <v>9000</v>
      </c>
      <c r="N103" s="118">
        <f t="shared" ref="N103:N117" si="60">M103/L103</f>
        <v>1</v>
      </c>
      <c r="O103" s="119"/>
      <c r="P103" s="68"/>
    </row>
    <row r="104" spans="1:16" ht="15.5" x14ac:dyDescent="0.35">
      <c r="A104" s="64">
        <v>2023</v>
      </c>
      <c r="B104" s="64">
        <v>2</v>
      </c>
      <c r="C104" s="65">
        <v>45017</v>
      </c>
      <c r="D104" s="65">
        <v>45107</v>
      </c>
      <c r="E104" s="100"/>
      <c r="F104" s="73"/>
      <c r="G104" s="73">
        <f t="shared" si="57"/>
        <v>569741</v>
      </c>
      <c r="H104" s="73">
        <f t="shared" si="58"/>
        <v>569741</v>
      </c>
      <c r="I104" s="74">
        <f t="shared" si="52"/>
        <v>1</v>
      </c>
      <c r="J104" s="102"/>
      <c r="K104" s="76"/>
      <c r="L104" s="76">
        <f t="shared" ref="L104" si="61">L103+J104</f>
        <v>9000</v>
      </c>
      <c r="M104" s="76">
        <f t="shared" si="59"/>
        <v>9000</v>
      </c>
      <c r="N104" s="118">
        <f t="shared" si="60"/>
        <v>1</v>
      </c>
      <c r="O104" s="119"/>
      <c r="P104" s="68"/>
    </row>
    <row r="105" spans="1:16" ht="15.5" x14ac:dyDescent="0.35">
      <c r="A105" s="64">
        <v>2023</v>
      </c>
      <c r="B105" s="64">
        <v>3</v>
      </c>
      <c r="C105" s="65">
        <v>45108</v>
      </c>
      <c r="D105" s="65">
        <v>45199</v>
      </c>
      <c r="E105" s="100"/>
      <c r="F105" s="73"/>
      <c r="G105" s="73">
        <f t="shared" si="57"/>
        <v>569741</v>
      </c>
      <c r="H105" s="73">
        <f t="shared" si="58"/>
        <v>569741</v>
      </c>
      <c r="I105" s="74">
        <f t="shared" si="52"/>
        <v>1</v>
      </c>
      <c r="J105" s="75"/>
      <c r="K105" s="76"/>
      <c r="L105" s="76">
        <f>L104+J105</f>
        <v>9000</v>
      </c>
      <c r="M105" s="76">
        <f t="shared" si="59"/>
        <v>9000</v>
      </c>
      <c r="N105" s="118">
        <f t="shared" si="60"/>
        <v>1</v>
      </c>
      <c r="O105" s="119"/>
      <c r="P105" s="68"/>
    </row>
    <row r="106" spans="1:16" ht="15.5" x14ac:dyDescent="0.35">
      <c r="A106" s="64">
        <v>2023</v>
      </c>
      <c r="B106" s="64">
        <v>4</v>
      </c>
      <c r="C106" s="65">
        <v>45200</v>
      </c>
      <c r="D106" s="65">
        <v>45291</v>
      </c>
      <c r="E106" s="72"/>
      <c r="F106" s="73"/>
      <c r="G106" s="73">
        <f t="shared" si="57"/>
        <v>569741</v>
      </c>
      <c r="H106" s="73">
        <f t="shared" si="58"/>
        <v>569741</v>
      </c>
      <c r="I106" s="74">
        <f t="shared" si="52"/>
        <v>1</v>
      </c>
      <c r="J106" s="75"/>
      <c r="K106" s="76"/>
      <c r="L106" s="76">
        <f t="shared" ref="L106:L117" si="62">L105+J106</f>
        <v>9000</v>
      </c>
      <c r="M106" s="76">
        <f t="shared" si="59"/>
        <v>9000</v>
      </c>
      <c r="N106" s="118">
        <f t="shared" si="60"/>
        <v>1</v>
      </c>
      <c r="O106" s="119"/>
      <c r="P106" s="68"/>
    </row>
    <row r="107" spans="1:16" ht="15.5" x14ac:dyDescent="0.35">
      <c r="A107" s="64">
        <v>2024</v>
      </c>
      <c r="B107" s="64">
        <v>1</v>
      </c>
      <c r="C107" s="65">
        <v>45292</v>
      </c>
      <c r="D107" s="65">
        <v>45382</v>
      </c>
      <c r="E107" s="72"/>
      <c r="F107" s="73"/>
      <c r="G107" s="73">
        <f t="shared" si="57"/>
        <v>569741</v>
      </c>
      <c r="H107" s="73">
        <f t="shared" si="58"/>
        <v>569741</v>
      </c>
      <c r="I107" s="74">
        <f t="shared" si="52"/>
        <v>1</v>
      </c>
      <c r="J107" s="75"/>
      <c r="K107" s="76"/>
      <c r="L107" s="76">
        <f t="shared" si="62"/>
        <v>9000</v>
      </c>
      <c r="M107" s="76">
        <f t="shared" si="59"/>
        <v>9000</v>
      </c>
      <c r="N107" s="118">
        <f t="shared" si="60"/>
        <v>1</v>
      </c>
      <c r="O107" s="119"/>
      <c r="P107" s="68"/>
    </row>
    <row r="108" spans="1:16" ht="15.5" x14ac:dyDescent="0.35">
      <c r="A108" s="64">
        <v>2024</v>
      </c>
      <c r="B108" s="64">
        <v>2</v>
      </c>
      <c r="C108" s="65">
        <v>45383</v>
      </c>
      <c r="D108" s="65">
        <v>45473</v>
      </c>
      <c r="E108" s="72"/>
      <c r="F108" s="73"/>
      <c r="G108" s="73">
        <f t="shared" si="57"/>
        <v>569741</v>
      </c>
      <c r="H108" s="73">
        <f t="shared" si="58"/>
        <v>569741</v>
      </c>
      <c r="I108" s="74">
        <f t="shared" si="52"/>
        <v>1</v>
      </c>
      <c r="J108" s="75"/>
      <c r="K108" s="76"/>
      <c r="L108" s="76">
        <f t="shared" si="62"/>
        <v>9000</v>
      </c>
      <c r="M108" s="76">
        <f t="shared" si="59"/>
        <v>9000</v>
      </c>
      <c r="N108" s="118">
        <f t="shared" si="60"/>
        <v>1</v>
      </c>
      <c r="O108" s="119"/>
      <c r="P108" s="68"/>
    </row>
    <row r="109" spans="1:16" ht="15.5" x14ac:dyDescent="0.35">
      <c r="A109" s="64">
        <v>2024</v>
      </c>
      <c r="B109" s="64">
        <v>3</v>
      </c>
      <c r="C109" s="65">
        <v>45474</v>
      </c>
      <c r="D109" s="65">
        <v>45565</v>
      </c>
      <c r="E109" s="72"/>
      <c r="F109" s="73"/>
      <c r="G109" s="73">
        <f t="shared" si="57"/>
        <v>569741</v>
      </c>
      <c r="H109" s="73">
        <f t="shared" si="58"/>
        <v>569741</v>
      </c>
      <c r="I109" s="128">
        <f t="shared" si="52"/>
        <v>1</v>
      </c>
      <c r="J109" s="75"/>
      <c r="K109" s="77"/>
      <c r="L109" s="77">
        <f t="shared" si="62"/>
        <v>9000</v>
      </c>
      <c r="M109" s="77">
        <f t="shared" si="59"/>
        <v>9000</v>
      </c>
      <c r="N109" s="78">
        <f t="shared" si="60"/>
        <v>1</v>
      </c>
      <c r="O109" s="129"/>
      <c r="P109" s="130"/>
    </row>
    <row r="110" spans="1:16" ht="15.5" x14ac:dyDescent="0.35">
      <c r="A110" s="64">
        <v>2024</v>
      </c>
      <c r="B110" s="64">
        <v>4</v>
      </c>
      <c r="C110" s="65">
        <v>45566</v>
      </c>
      <c r="D110" s="65">
        <v>45657</v>
      </c>
      <c r="E110" s="72"/>
      <c r="F110" s="73"/>
      <c r="G110" s="73">
        <f t="shared" si="57"/>
        <v>569741</v>
      </c>
      <c r="H110" s="73">
        <f t="shared" si="58"/>
        <v>569741</v>
      </c>
      <c r="I110" s="128">
        <f t="shared" si="52"/>
        <v>1</v>
      </c>
      <c r="J110" s="75"/>
      <c r="K110" s="77"/>
      <c r="L110" s="77">
        <f t="shared" si="62"/>
        <v>9000</v>
      </c>
      <c r="M110" s="77">
        <f t="shared" si="59"/>
        <v>9000</v>
      </c>
      <c r="N110" s="78">
        <f t="shared" si="60"/>
        <v>1</v>
      </c>
      <c r="O110" s="131"/>
      <c r="P110" s="130"/>
    </row>
    <row r="111" spans="1:16" ht="15.5" x14ac:dyDescent="0.35">
      <c r="A111" s="64">
        <v>2025</v>
      </c>
      <c r="B111" s="64">
        <v>1</v>
      </c>
      <c r="C111" s="65">
        <v>45658</v>
      </c>
      <c r="D111" s="65">
        <v>45747</v>
      </c>
      <c r="E111" s="72"/>
      <c r="F111" s="73"/>
      <c r="G111" s="73">
        <f t="shared" si="57"/>
        <v>569741</v>
      </c>
      <c r="H111" s="73">
        <f t="shared" si="58"/>
        <v>569741</v>
      </c>
      <c r="I111" s="128">
        <f t="shared" si="52"/>
        <v>1</v>
      </c>
      <c r="J111" s="75"/>
      <c r="K111" s="77"/>
      <c r="L111" s="77">
        <f t="shared" si="62"/>
        <v>9000</v>
      </c>
      <c r="M111" s="77">
        <f t="shared" si="59"/>
        <v>9000</v>
      </c>
      <c r="N111" s="78">
        <f t="shared" si="60"/>
        <v>1</v>
      </c>
      <c r="O111" s="131"/>
      <c r="P111" s="130"/>
    </row>
    <row r="112" spans="1:16" ht="15.5" x14ac:dyDescent="0.35">
      <c r="A112" s="64">
        <v>2025</v>
      </c>
      <c r="B112" s="64">
        <v>2</v>
      </c>
      <c r="C112" s="65">
        <v>45748</v>
      </c>
      <c r="D112" s="65">
        <v>45838</v>
      </c>
      <c r="E112" s="72"/>
      <c r="F112" s="73"/>
      <c r="G112" s="73">
        <f t="shared" si="57"/>
        <v>569741</v>
      </c>
      <c r="H112" s="73">
        <f t="shared" si="58"/>
        <v>569741</v>
      </c>
      <c r="I112" s="128">
        <f t="shared" si="52"/>
        <v>1</v>
      </c>
      <c r="J112" s="75"/>
      <c r="K112" s="77"/>
      <c r="L112" s="77">
        <f t="shared" si="62"/>
        <v>9000</v>
      </c>
      <c r="M112" s="77">
        <f t="shared" si="59"/>
        <v>9000</v>
      </c>
      <c r="N112" s="78">
        <f t="shared" si="60"/>
        <v>1</v>
      </c>
      <c r="O112" s="131"/>
      <c r="P112" s="130"/>
    </row>
    <row r="113" spans="1:16" ht="15.5" x14ac:dyDescent="0.35">
      <c r="A113" s="64">
        <v>2025</v>
      </c>
      <c r="B113" s="64">
        <v>3</v>
      </c>
      <c r="C113" s="65">
        <v>45839</v>
      </c>
      <c r="D113" s="65">
        <v>45930</v>
      </c>
      <c r="E113" s="72"/>
      <c r="F113" s="73"/>
      <c r="G113" s="73">
        <f t="shared" si="57"/>
        <v>569741</v>
      </c>
      <c r="H113" s="73">
        <f t="shared" si="58"/>
        <v>569741</v>
      </c>
      <c r="I113" s="128">
        <f t="shared" si="52"/>
        <v>1</v>
      </c>
      <c r="J113" s="75"/>
      <c r="K113" s="77"/>
      <c r="L113" s="77">
        <f t="shared" si="62"/>
        <v>9000</v>
      </c>
      <c r="M113" s="77">
        <f t="shared" si="59"/>
        <v>9000</v>
      </c>
      <c r="N113" s="78">
        <f t="shared" si="60"/>
        <v>1</v>
      </c>
      <c r="O113" s="131"/>
      <c r="P113" s="130"/>
    </row>
    <row r="114" spans="1:16" ht="15.5" x14ac:dyDescent="0.35">
      <c r="A114" s="64">
        <v>2025</v>
      </c>
      <c r="B114" s="64">
        <v>4</v>
      </c>
      <c r="C114" s="65">
        <v>45931</v>
      </c>
      <c r="D114" s="65">
        <v>46022</v>
      </c>
      <c r="E114" s="72"/>
      <c r="F114" s="73"/>
      <c r="G114" s="73">
        <f t="shared" si="57"/>
        <v>569741</v>
      </c>
      <c r="H114" s="73">
        <f t="shared" si="58"/>
        <v>569741</v>
      </c>
      <c r="I114" s="128">
        <f t="shared" si="52"/>
        <v>1</v>
      </c>
      <c r="J114" s="75"/>
      <c r="K114" s="77"/>
      <c r="L114" s="77">
        <f t="shared" si="62"/>
        <v>9000</v>
      </c>
      <c r="M114" s="77">
        <f t="shared" si="59"/>
        <v>9000</v>
      </c>
      <c r="N114" s="78">
        <f t="shared" si="60"/>
        <v>1</v>
      </c>
      <c r="O114" s="131"/>
      <c r="P114" s="130"/>
    </row>
    <row r="115" spans="1:16" ht="15.5" x14ac:dyDescent="0.35">
      <c r="A115" s="64">
        <v>2026</v>
      </c>
      <c r="B115" s="64">
        <v>1</v>
      </c>
      <c r="C115" s="65">
        <v>46023</v>
      </c>
      <c r="D115" s="65">
        <v>46112</v>
      </c>
      <c r="E115" s="72"/>
      <c r="F115" s="73"/>
      <c r="G115" s="73">
        <f t="shared" si="57"/>
        <v>569741</v>
      </c>
      <c r="H115" s="73">
        <f t="shared" si="58"/>
        <v>569741</v>
      </c>
      <c r="I115" s="128">
        <f>H115/G115</f>
        <v>1</v>
      </c>
      <c r="J115" s="75"/>
      <c r="K115" s="77"/>
      <c r="L115" s="77">
        <f t="shared" si="62"/>
        <v>9000</v>
      </c>
      <c r="M115" s="77">
        <f t="shared" si="59"/>
        <v>9000</v>
      </c>
      <c r="N115" s="78">
        <f t="shared" si="60"/>
        <v>1</v>
      </c>
      <c r="O115" s="131"/>
      <c r="P115" s="130"/>
    </row>
    <row r="116" spans="1:16" ht="15.5" x14ac:dyDescent="0.35">
      <c r="A116" s="64">
        <v>2026</v>
      </c>
      <c r="B116" s="64">
        <v>2</v>
      </c>
      <c r="C116" s="65">
        <v>46113</v>
      </c>
      <c r="D116" s="65">
        <v>46203</v>
      </c>
      <c r="E116" s="72"/>
      <c r="F116" s="73"/>
      <c r="G116" s="73">
        <f t="shared" si="57"/>
        <v>569741</v>
      </c>
      <c r="H116" s="73">
        <f t="shared" si="58"/>
        <v>569741</v>
      </c>
      <c r="I116" s="128">
        <f t="shared" ref="I116:I117" si="63">H116/G116</f>
        <v>1</v>
      </c>
      <c r="J116" s="75"/>
      <c r="K116" s="77"/>
      <c r="L116" s="77">
        <f t="shared" si="62"/>
        <v>9000</v>
      </c>
      <c r="M116" s="77">
        <f t="shared" si="59"/>
        <v>9000</v>
      </c>
      <c r="N116" s="78">
        <f t="shared" si="60"/>
        <v>1</v>
      </c>
      <c r="O116" s="131"/>
      <c r="P116" s="130"/>
    </row>
    <row r="117" spans="1:16" ht="15.5" x14ac:dyDescent="0.35">
      <c r="A117" s="64">
        <v>2026</v>
      </c>
      <c r="B117" s="64">
        <v>3</v>
      </c>
      <c r="C117" s="65">
        <v>46204</v>
      </c>
      <c r="D117" s="65">
        <v>46295</v>
      </c>
      <c r="E117" s="72"/>
      <c r="F117" s="73"/>
      <c r="G117" s="73">
        <f t="shared" si="57"/>
        <v>569741</v>
      </c>
      <c r="H117" s="73">
        <f>SUM(H116+F117)</f>
        <v>569741</v>
      </c>
      <c r="I117" s="128">
        <f t="shared" si="63"/>
        <v>1</v>
      </c>
      <c r="J117" s="75"/>
      <c r="K117" s="132"/>
      <c r="L117" s="132">
        <f t="shared" si="62"/>
        <v>9000</v>
      </c>
      <c r="M117" s="132">
        <f t="shared" si="59"/>
        <v>9000</v>
      </c>
      <c r="N117" s="78">
        <f t="shared" si="60"/>
        <v>1</v>
      </c>
      <c r="O117" s="131"/>
      <c r="P117" s="130"/>
    </row>
    <row r="118" spans="1:16" ht="15" thickBot="1" x14ac:dyDescent="0.4">
      <c r="A118" s="133" t="s">
        <v>12</v>
      </c>
      <c r="B118" s="133"/>
      <c r="C118" s="133"/>
      <c r="D118" s="134"/>
      <c r="E118" s="135">
        <v>569741</v>
      </c>
      <c r="F118" s="136">
        <f>SUM(F94:F117)</f>
        <v>569741</v>
      </c>
      <c r="G118" s="136">
        <f>G117</f>
        <v>569741</v>
      </c>
      <c r="H118" s="137">
        <f>H117</f>
        <v>569741</v>
      </c>
      <c r="I118" s="144">
        <f>H118/G118</f>
        <v>1</v>
      </c>
      <c r="J118" s="138">
        <v>9000</v>
      </c>
      <c r="K118" s="139">
        <f>SUM(K94:K117)</f>
        <v>9000</v>
      </c>
      <c r="L118" s="140">
        <f>L117</f>
        <v>9000</v>
      </c>
      <c r="M118" s="141">
        <f>M117</f>
        <v>9000</v>
      </c>
      <c r="N118" s="142">
        <f>M118/L118</f>
        <v>1</v>
      </c>
      <c r="O118" s="143">
        <f>SUM(O94:O117)</f>
        <v>14</v>
      </c>
      <c r="P118" s="143">
        <f>SUM(P94:P117)</f>
        <v>12</v>
      </c>
    </row>
    <row r="119" spans="1:16" ht="15" thickTop="1" x14ac:dyDescent="0.35">
      <c r="E119" s="33">
        <f>E118+J118</f>
        <v>578741</v>
      </c>
    </row>
    <row r="122" spans="1:16" x14ac:dyDescent="0.35">
      <c r="A122" s="218" t="s">
        <v>98</v>
      </c>
      <c r="B122" s="218"/>
      <c r="C122" s="218"/>
      <c r="D122" s="218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8"/>
      <c r="P122" s="218"/>
    </row>
    <row r="123" spans="1:16" ht="15" thickBot="1" x14ac:dyDescent="0.4">
      <c r="A123" s="202" t="s">
        <v>0</v>
      </c>
      <c r="B123" s="204"/>
      <c r="C123" s="204"/>
      <c r="D123" s="204"/>
      <c r="E123" s="193" t="s">
        <v>99</v>
      </c>
      <c r="F123" s="193"/>
      <c r="G123" s="193"/>
      <c r="H123" s="193"/>
      <c r="I123" s="194"/>
      <c r="J123" s="195" t="s">
        <v>100</v>
      </c>
      <c r="K123" s="196"/>
      <c r="L123" s="196"/>
      <c r="M123" s="196"/>
      <c r="N123" s="197"/>
      <c r="O123" s="12"/>
      <c r="P123" s="6"/>
    </row>
    <row r="124" spans="1:16" ht="58.5" thickTop="1" x14ac:dyDescent="0.35">
      <c r="A124" s="7" t="s">
        <v>1</v>
      </c>
      <c r="B124" s="7" t="s">
        <v>2</v>
      </c>
      <c r="C124" s="7" t="s">
        <v>3</v>
      </c>
      <c r="D124" s="9" t="s">
        <v>9</v>
      </c>
      <c r="E124" s="25" t="s">
        <v>4</v>
      </c>
      <c r="F124" s="20" t="s">
        <v>6</v>
      </c>
      <c r="G124" s="20" t="s">
        <v>5</v>
      </c>
      <c r="H124" s="20" t="s">
        <v>7</v>
      </c>
      <c r="I124" s="23" t="s">
        <v>8</v>
      </c>
      <c r="J124" s="25" t="s">
        <v>4</v>
      </c>
      <c r="K124" s="26" t="s">
        <v>6</v>
      </c>
      <c r="L124" s="26" t="s">
        <v>5</v>
      </c>
      <c r="M124" s="26" t="s">
        <v>7</v>
      </c>
      <c r="N124" s="27" t="s">
        <v>8</v>
      </c>
      <c r="O124" s="13" t="s">
        <v>94</v>
      </c>
      <c r="P124" s="8" t="s">
        <v>95</v>
      </c>
    </row>
    <row r="125" spans="1:16" ht="15.5" x14ac:dyDescent="0.35">
      <c r="A125" s="64">
        <v>2020</v>
      </c>
      <c r="B125" s="64">
        <v>4</v>
      </c>
      <c r="C125" s="65">
        <v>44105</v>
      </c>
      <c r="D125" s="65">
        <v>44196</v>
      </c>
      <c r="E125" s="66"/>
      <c r="F125" s="66"/>
      <c r="G125" s="66"/>
      <c r="H125" s="66"/>
      <c r="I125" s="67"/>
      <c r="J125" s="66"/>
      <c r="K125" s="66"/>
      <c r="L125" s="66"/>
      <c r="M125" s="66"/>
      <c r="N125" s="67"/>
      <c r="O125" s="68">
        <v>0</v>
      </c>
      <c r="P125" s="69">
        <v>0</v>
      </c>
    </row>
    <row r="126" spans="1:16" ht="15.5" x14ac:dyDescent="0.35">
      <c r="A126" s="64">
        <v>2021</v>
      </c>
      <c r="B126" s="64">
        <v>1</v>
      </c>
      <c r="C126" s="65">
        <v>44197</v>
      </c>
      <c r="D126" s="65">
        <v>44286</v>
      </c>
      <c r="E126" s="66"/>
      <c r="F126" s="66"/>
      <c r="G126" s="66"/>
      <c r="H126" s="66"/>
      <c r="I126" s="67"/>
      <c r="J126" s="66"/>
      <c r="K126" s="66"/>
      <c r="L126" s="66"/>
      <c r="M126" s="66"/>
      <c r="N126" s="67"/>
      <c r="O126" s="68">
        <v>0</v>
      </c>
      <c r="P126" s="69">
        <v>0</v>
      </c>
    </row>
    <row r="127" spans="1:16" ht="15.5" x14ac:dyDescent="0.35">
      <c r="A127" s="89">
        <v>2021</v>
      </c>
      <c r="B127" s="89">
        <v>2</v>
      </c>
      <c r="C127" s="90">
        <v>44287</v>
      </c>
      <c r="D127" s="90">
        <v>44377</v>
      </c>
      <c r="E127" s="100">
        <f>$E$149/15</f>
        <v>67323.399999999994</v>
      </c>
      <c r="F127" s="92">
        <v>0</v>
      </c>
      <c r="G127" s="92">
        <f>E127</f>
        <v>67323.399999999994</v>
      </c>
      <c r="H127" s="92">
        <f>SUM(F127+0)</f>
        <v>0</v>
      </c>
      <c r="I127" s="101">
        <v>0</v>
      </c>
      <c r="J127" s="102">
        <f>$J$149/15</f>
        <v>6093.333333333333</v>
      </c>
      <c r="K127" s="103">
        <v>0</v>
      </c>
      <c r="L127" s="104">
        <f>J127</f>
        <v>6093.333333333333</v>
      </c>
      <c r="M127" s="103">
        <f>SUM(K127+0)</f>
        <v>0</v>
      </c>
      <c r="N127" s="105">
        <v>0</v>
      </c>
      <c r="O127" s="109">
        <v>4</v>
      </c>
      <c r="P127" s="107">
        <v>0</v>
      </c>
    </row>
    <row r="128" spans="1:16" ht="15.5" x14ac:dyDescent="0.35">
      <c r="A128" s="64">
        <v>2021</v>
      </c>
      <c r="B128" s="64">
        <v>3</v>
      </c>
      <c r="C128" s="65">
        <v>44378</v>
      </c>
      <c r="D128" s="65">
        <v>44469</v>
      </c>
      <c r="E128" s="100">
        <f t="shared" ref="E128:E141" si="64">$E$149/15</f>
        <v>67323.399999999994</v>
      </c>
      <c r="F128" s="73">
        <v>304095</v>
      </c>
      <c r="G128" s="73">
        <f t="shared" ref="G128:G129" si="65">G127+E128</f>
        <v>134646.79999999999</v>
      </c>
      <c r="H128" s="73">
        <f t="shared" ref="H128:H132" si="66">SUM(H127+F128)</f>
        <v>304095</v>
      </c>
      <c r="I128" s="74">
        <v>0</v>
      </c>
      <c r="J128" s="102">
        <f t="shared" ref="J128:J141" si="67">$J$149/15</f>
        <v>6093.333333333333</v>
      </c>
      <c r="K128" s="76">
        <v>0</v>
      </c>
      <c r="L128" s="76">
        <f>L127+J128</f>
        <v>12186.666666666666</v>
      </c>
      <c r="M128" s="76">
        <f>SUM(M127+K128)</f>
        <v>0</v>
      </c>
      <c r="N128" s="118">
        <v>0</v>
      </c>
      <c r="O128" s="119">
        <v>4</v>
      </c>
      <c r="P128" s="68">
        <v>23</v>
      </c>
    </row>
    <row r="129" spans="1:16" ht="15.5" x14ac:dyDescent="0.35">
      <c r="A129" s="64">
        <v>2022</v>
      </c>
      <c r="B129" s="64">
        <v>4</v>
      </c>
      <c r="C129" s="65">
        <v>44470</v>
      </c>
      <c r="D129" s="65">
        <v>44561</v>
      </c>
      <c r="E129" s="100">
        <f t="shared" si="64"/>
        <v>67323.399999999994</v>
      </c>
      <c r="F129" s="73">
        <v>0</v>
      </c>
      <c r="G129" s="73">
        <f t="shared" si="65"/>
        <v>201970.19999999998</v>
      </c>
      <c r="H129" s="73">
        <f t="shared" si="66"/>
        <v>304095</v>
      </c>
      <c r="I129" s="74">
        <f t="shared" ref="I129:I145" si="68">H129/G129</f>
        <v>1.5056429116770693</v>
      </c>
      <c r="J129" s="102">
        <f t="shared" si="67"/>
        <v>6093.333333333333</v>
      </c>
      <c r="K129" s="76">
        <v>0</v>
      </c>
      <c r="L129" s="76">
        <f t="shared" ref="L129:L132" si="69">L128+J129</f>
        <v>18280</v>
      </c>
      <c r="M129" s="76">
        <f t="shared" ref="M129:M131" si="70">SUM(M128+K129)</f>
        <v>0</v>
      </c>
      <c r="N129" s="118">
        <f t="shared" ref="N129:N132" si="71">M129/L129</f>
        <v>0</v>
      </c>
      <c r="O129" s="119">
        <v>4</v>
      </c>
      <c r="P129" s="68">
        <v>5</v>
      </c>
    </row>
    <row r="130" spans="1:16" ht="15.5" x14ac:dyDescent="0.35">
      <c r="A130" s="64">
        <v>2022</v>
      </c>
      <c r="B130" s="64">
        <v>1</v>
      </c>
      <c r="C130" s="65">
        <v>44562</v>
      </c>
      <c r="D130" s="65">
        <v>44651</v>
      </c>
      <c r="E130" s="100">
        <f t="shared" si="64"/>
        <v>67323.399999999994</v>
      </c>
      <c r="F130" s="73">
        <v>174590</v>
      </c>
      <c r="G130" s="73">
        <f>G129+E130</f>
        <v>269293.59999999998</v>
      </c>
      <c r="H130" s="73">
        <f t="shared" si="66"/>
        <v>478685</v>
      </c>
      <c r="I130" s="74">
        <f t="shared" si="68"/>
        <v>1.7775580258869874</v>
      </c>
      <c r="J130" s="102">
        <f t="shared" si="67"/>
        <v>6093.333333333333</v>
      </c>
      <c r="K130" s="76">
        <v>0</v>
      </c>
      <c r="L130" s="76">
        <f t="shared" si="69"/>
        <v>24373.333333333332</v>
      </c>
      <c r="M130" s="76">
        <f t="shared" si="70"/>
        <v>0</v>
      </c>
      <c r="N130" s="118">
        <f t="shared" si="71"/>
        <v>0</v>
      </c>
      <c r="O130" s="119">
        <v>4</v>
      </c>
      <c r="P130" s="68">
        <v>15</v>
      </c>
    </row>
    <row r="131" spans="1:16" ht="15.5" x14ac:dyDescent="0.35">
      <c r="A131" s="64">
        <v>2022</v>
      </c>
      <c r="B131" s="64">
        <v>2</v>
      </c>
      <c r="C131" s="65">
        <v>44652</v>
      </c>
      <c r="D131" s="65">
        <v>44742</v>
      </c>
      <c r="E131" s="100">
        <f t="shared" si="64"/>
        <v>67323.399999999994</v>
      </c>
      <c r="F131" s="73">
        <v>346876</v>
      </c>
      <c r="G131" s="73">
        <f t="shared" ref="G131:G132" si="72">G130+E131</f>
        <v>336617</v>
      </c>
      <c r="H131" s="73">
        <f t="shared" si="66"/>
        <v>825561</v>
      </c>
      <c r="I131" s="74">
        <f t="shared" si="68"/>
        <v>2.4525231940157508</v>
      </c>
      <c r="J131" s="102">
        <f t="shared" si="67"/>
        <v>6093.333333333333</v>
      </c>
      <c r="K131" s="76">
        <v>0</v>
      </c>
      <c r="L131" s="76">
        <f t="shared" si="69"/>
        <v>30466.666666666664</v>
      </c>
      <c r="M131" s="76">
        <f t="shared" si="70"/>
        <v>0</v>
      </c>
      <c r="N131" s="118">
        <f t="shared" si="71"/>
        <v>0</v>
      </c>
      <c r="O131" s="119">
        <v>4</v>
      </c>
      <c r="P131" s="68">
        <v>-1</v>
      </c>
    </row>
    <row r="132" spans="1:16" ht="15.5" x14ac:dyDescent="0.35">
      <c r="A132" s="64">
        <v>2022</v>
      </c>
      <c r="B132" s="64">
        <v>3</v>
      </c>
      <c r="C132" s="65">
        <v>44743</v>
      </c>
      <c r="D132" s="65">
        <v>44834</v>
      </c>
      <c r="E132" s="100">
        <f t="shared" si="64"/>
        <v>67323.399999999994</v>
      </c>
      <c r="F132" s="73">
        <v>0</v>
      </c>
      <c r="G132" s="73">
        <f t="shared" si="72"/>
        <v>403940.4</v>
      </c>
      <c r="H132" s="73">
        <f t="shared" si="66"/>
        <v>825561</v>
      </c>
      <c r="I132" s="74">
        <f t="shared" si="68"/>
        <v>2.0437693283464591</v>
      </c>
      <c r="J132" s="102">
        <f t="shared" si="67"/>
        <v>6093.333333333333</v>
      </c>
      <c r="K132" s="76">
        <v>0</v>
      </c>
      <c r="L132" s="76">
        <f t="shared" si="69"/>
        <v>36560</v>
      </c>
      <c r="M132" s="76">
        <f>SUM(M131+K132)</f>
        <v>0</v>
      </c>
      <c r="N132" s="118">
        <f t="shared" si="71"/>
        <v>0</v>
      </c>
      <c r="O132" s="119">
        <v>4</v>
      </c>
      <c r="P132" s="68">
        <v>1</v>
      </c>
    </row>
    <row r="133" spans="1:16" ht="15.5" x14ac:dyDescent="0.35">
      <c r="A133" s="64">
        <v>2022</v>
      </c>
      <c r="B133" s="64">
        <v>4</v>
      </c>
      <c r="C133" s="65">
        <v>44835</v>
      </c>
      <c r="D133" s="65">
        <v>44926</v>
      </c>
      <c r="E133" s="100">
        <f t="shared" si="64"/>
        <v>67323.399999999994</v>
      </c>
      <c r="F133" s="73">
        <v>164679</v>
      </c>
      <c r="G133" s="73">
        <f>G132+E133</f>
        <v>471263.80000000005</v>
      </c>
      <c r="H133" s="73">
        <f>SUM(H132+F133)</f>
        <v>990240</v>
      </c>
      <c r="I133" s="74">
        <f t="shared" si="68"/>
        <v>2.1012435073519331</v>
      </c>
      <c r="J133" s="102">
        <f t="shared" si="67"/>
        <v>6093.333333333333</v>
      </c>
      <c r="K133" s="76">
        <v>36000</v>
      </c>
      <c r="L133" s="76">
        <f>L132+J133</f>
        <v>42653.333333333336</v>
      </c>
      <c r="M133" s="76">
        <f>SUM(M132+K133)</f>
        <v>36000</v>
      </c>
      <c r="N133" s="118">
        <f>M133/L133</f>
        <v>0.84401375429821812</v>
      </c>
      <c r="O133" s="119">
        <v>4</v>
      </c>
      <c r="P133" s="68">
        <v>0</v>
      </c>
    </row>
    <row r="134" spans="1:16" ht="15.5" x14ac:dyDescent="0.35">
      <c r="A134" s="64">
        <v>2023</v>
      </c>
      <c r="B134" s="64">
        <v>1</v>
      </c>
      <c r="C134" s="65">
        <v>44927</v>
      </c>
      <c r="D134" s="65">
        <v>45016</v>
      </c>
      <c r="E134" s="100">
        <f t="shared" si="64"/>
        <v>67323.399999999994</v>
      </c>
      <c r="F134" s="73">
        <v>0</v>
      </c>
      <c r="G134" s="73">
        <f t="shared" ref="G134:G148" si="73">G133+E134</f>
        <v>538587.20000000007</v>
      </c>
      <c r="H134" s="73">
        <f t="shared" ref="H134:H147" si="74">SUM(H133+F134)</f>
        <v>990240</v>
      </c>
      <c r="I134" s="74">
        <f t="shared" si="68"/>
        <v>1.8385880689329412</v>
      </c>
      <c r="J134" s="102">
        <f t="shared" si="67"/>
        <v>6093.333333333333</v>
      </c>
      <c r="K134" s="76">
        <v>0</v>
      </c>
      <c r="L134" s="76">
        <f>L133+J134</f>
        <v>48746.666666666672</v>
      </c>
      <c r="M134" s="76">
        <f t="shared" ref="M134:M148" si="75">SUM(M133+K134)</f>
        <v>36000</v>
      </c>
      <c r="N134" s="118">
        <f t="shared" ref="N134:N148" si="76">M134/L134</f>
        <v>0.73851203501094087</v>
      </c>
      <c r="O134" s="119">
        <v>5</v>
      </c>
      <c r="P134" s="68">
        <v>0</v>
      </c>
    </row>
    <row r="135" spans="1:16" ht="15.5" x14ac:dyDescent="0.35">
      <c r="A135" s="64">
        <v>2023</v>
      </c>
      <c r="B135" s="64">
        <v>2</v>
      </c>
      <c r="C135" s="65">
        <v>45017</v>
      </c>
      <c r="D135" s="65">
        <v>45107</v>
      </c>
      <c r="E135" s="100">
        <f t="shared" si="64"/>
        <v>67323.399999999994</v>
      </c>
      <c r="F135" s="73">
        <v>0</v>
      </c>
      <c r="G135" s="73">
        <f t="shared" si="73"/>
        <v>605910.60000000009</v>
      </c>
      <c r="H135" s="73">
        <f t="shared" si="74"/>
        <v>990240</v>
      </c>
      <c r="I135" s="74">
        <f t="shared" si="68"/>
        <v>1.6343005057181701</v>
      </c>
      <c r="J135" s="102">
        <f t="shared" si="67"/>
        <v>6093.333333333333</v>
      </c>
      <c r="K135" s="76">
        <v>0</v>
      </c>
      <c r="L135" s="76">
        <f t="shared" ref="L135" si="77">L134+J135</f>
        <v>54840.000000000007</v>
      </c>
      <c r="M135" s="76">
        <f t="shared" si="75"/>
        <v>36000</v>
      </c>
      <c r="N135" s="118">
        <f t="shared" si="76"/>
        <v>0.65645514223194734</v>
      </c>
      <c r="O135" s="119">
        <v>5</v>
      </c>
      <c r="P135" s="68">
        <v>0</v>
      </c>
    </row>
    <row r="136" spans="1:16" ht="15.5" x14ac:dyDescent="0.35">
      <c r="A136" s="64">
        <v>2023</v>
      </c>
      <c r="B136" s="64">
        <v>3</v>
      </c>
      <c r="C136" s="65">
        <v>45108</v>
      </c>
      <c r="D136" s="65">
        <v>45199</v>
      </c>
      <c r="E136" s="100">
        <f t="shared" si="64"/>
        <v>67323.399999999994</v>
      </c>
      <c r="F136" s="73">
        <v>0</v>
      </c>
      <c r="G136" s="73">
        <f t="shared" si="73"/>
        <v>673234.00000000012</v>
      </c>
      <c r="H136" s="73">
        <f t="shared" si="74"/>
        <v>990240</v>
      </c>
      <c r="I136" s="74">
        <f t="shared" si="68"/>
        <v>1.470870455146353</v>
      </c>
      <c r="J136" s="102">
        <f t="shared" si="67"/>
        <v>6093.333333333333</v>
      </c>
      <c r="K136" s="76">
        <v>0</v>
      </c>
      <c r="L136" s="76">
        <f>L135+J136</f>
        <v>60933.333333333343</v>
      </c>
      <c r="M136" s="76">
        <f t="shared" si="75"/>
        <v>36000</v>
      </c>
      <c r="N136" s="118">
        <f t="shared" si="76"/>
        <v>0.5908096280087527</v>
      </c>
      <c r="O136" s="119">
        <v>5</v>
      </c>
      <c r="P136" s="68">
        <v>0</v>
      </c>
    </row>
    <row r="137" spans="1:16" ht="15.5" x14ac:dyDescent="0.35">
      <c r="A137" s="64">
        <v>2023</v>
      </c>
      <c r="B137" s="64">
        <v>4</v>
      </c>
      <c r="C137" s="65">
        <v>45200</v>
      </c>
      <c r="D137" s="65">
        <v>45291</v>
      </c>
      <c r="E137" s="100">
        <f t="shared" si="64"/>
        <v>67323.399999999994</v>
      </c>
      <c r="F137" s="73">
        <v>0</v>
      </c>
      <c r="G137" s="73">
        <f t="shared" si="73"/>
        <v>740557.40000000014</v>
      </c>
      <c r="H137" s="73">
        <f t="shared" si="74"/>
        <v>990240</v>
      </c>
      <c r="I137" s="74">
        <f t="shared" si="68"/>
        <v>1.3371549592239573</v>
      </c>
      <c r="J137" s="102">
        <f t="shared" si="67"/>
        <v>6093.333333333333</v>
      </c>
      <c r="K137" s="76">
        <v>0</v>
      </c>
      <c r="L137" s="76">
        <f t="shared" ref="L137:L148" si="78">L136+J137</f>
        <v>67026.666666666672</v>
      </c>
      <c r="M137" s="76">
        <f t="shared" si="75"/>
        <v>36000</v>
      </c>
      <c r="N137" s="118">
        <f t="shared" si="76"/>
        <v>0.53709966182613877</v>
      </c>
      <c r="O137" s="119">
        <v>0</v>
      </c>
      <c r="P137" s="68">
        <v>0</v>
      </c>
    </row>
    <row r="138" spans="1:16" ht="15.5" x14ac:dyDescent="0.35">
      <c r="A138" s="64">
        <v>2024</v>
      </c>
      <c r="B138" s="64">
        <v>1</v>
      </c>
      <c r="C138" s="65">
        <v>45292</v>
      </c>
      <c r="D138" s="65">
        <v>45382</v>
      </c>
      <c r="E138" s="100">
        <f t="shared" si="64"/>
        <v>67323.399999999994</v>
      </c>
      <c r="F138" s="73">
        <v>0</v>
      </c>
      <c r="G138" s="73">
        <f t="shared" si="73"/>
        <v>807880.80000000016</v>
      </c>
      <c r="H138" s="73">
        <f t="shared" si="74"/>
        <v>990240</v>
      </c>
      <c r="I138" s="74">
        <f t="shared" si="68"/>
        <v>1.2257253792886276</v>
      </c>
      <c r="J138" s="102">
        <f t="shared" si="67"/>
        <v>6093.333333333333</v>
      </c>
      <c r="K138" s="76">
        <v>0</v>
      </c>
      <c r="L138" s="76">
        <f t="shared" si="78"/>
        <v>73120</v>
      </c>
      <c r="M138" s="76">
        <f t="shared" si="75"/>
        <v>36000</v>
      </c>
      <c r="N138" s="118">
        <f t="shared" si="76"/>
        <v>0.49234135667396062</v>
      </c>
      <c r="O138" s="119">
        <v>0</v>
      </c>
      <c r="P138" s="68">
        <v>0</v>
      </c>
    </row>
    <row r="139" spans="1:16" ht="15.5" x14ac:dyDescent="0.35">
      <c r="A139" s="64">
        <v>2024</v>
      </c>
      <c r="B139" s="64">
        <v>2</v>
      </c>
      <c r="C139" s="65">
        <v>45383</v>
      </c>
      <c r="D139" s="65">
        <v>45473</v>
      </c>
      <c r="E139" s="100">
        <f t="shared" si="64"/>
        <v>67323.399999999994</v>
      </c>
      <c r="F139" s="73">
        <v>0</v>
      </c>
      <c r="G139" s="73">
        <f t="shared" si="73"/>
        <v>875204.20000000019</v>
      </c>
      <c r="H139" s="73">
        <f t="shared" si="74"/>
        <v>990240</v>
      </c>
      <c r="I139" s="74">
        <f t="shared" si="68"/>
        <v>1.1314388116510408</v>
      </c>
      <c r="J139" s="102">
        <f t="shared" si="67"/>
        <v>6093.333333333333</v>
      </c>
      <c r="K139" s="76">
        <v>0</v>
      </c>
      <c r="L139" s="76">
        <f t="shared" si="78"/>
        <v>79213.333333333328</v>
      </c>
      <c r="M139" s="76">
        <f t="shared" si="75"/>
        <v>36000</v>
      </c>
      <c r="N139" s="118">
        <f t="shared" si="76"/>
        <v>0.45446894462211751</v>
      </c>
      <c r="O139" s="119">
        <v>0</v>
      </c>
      <c r="P139" s="68">
        <v>0</v>
      </c>
    </row>
    <row r="140" spans="1:16" ht="15.5" x14ac:dyDescent="0.35">
      <c r="A140" s="64">
        <v>2024</v>
      </c>
      <c r="B140" s="64">
        <v>3</v>
      </c>
      <c r="C140" s="65">
        <v>45474</v>
      </c>
      <c r="D140" s="65">
        <v>45565</v>
      </c>
      <c r="E140" s="72">
        <f t="shared" si="64"/>
        <v>67323.399999999994</v>
      </c>
      <c r="F140" s="73">
        <v>0</v>
      </c>
      <c r="G140" s="73">
        <f t="shared" si="73"/>
        <v>942527.60000000021</v>
      </c>
      <c r="H140" s="73">
        <f t="shared" si="74"/>
        <v>990240</v>
      </c>
      <c r="I140" s="128">
        <f t="shared" si="68"/>
        <v>1.0506217536759663</v>
      </c>
      <c r="J140" s="75">
        <f t="shared" si="67"/>
        <v>6093.333333333333</v>
      </c>
      <c r="K140" s="77">
        <v>0</v>
      </c>
      <c r="L140" s="77">
        <f t="shared" si="78"/>
        <v>85306.666666666657</v>
      </c>
      <c r="M140" s="77">
        <f t="shared" si="75"/>
        <v>36000</v>
      </c>
      <c r="N140" s="78">
        <f t="shared" si="76"/>
        <v>0.42200687714910917</v>
      </c>
      <c r="O140" s="129">
        <v>0</v>
      </c>
      <c r="P140" s="130">
        <v>0</v>
      </c>
    </row>
    <row r="141" spans="1:16" ht="15.5" x14ac:dyDescent="0.35">
      <c r="A141" s="1">
        <v>2024</v>
      </c>
      <c r="B141" s="1">
        <v>4</v>
      </c>
      <c r="C141" s="2">
        <v>45566</v>
      </c>
      <c r="D141" s="2">
        <v>45657</v>
      </c>
      <c r="E141" s="21">
        <f t="shared" si="64"/>
        <v>67323.399999999994</v>
      </c>
      <c r="F141" s="17"/>
      <c r="G141" s="17">
        <f t="shared" si="73"/>
        <v>1009851.0000000002</v>
      </c>
      <c r="H141" s="17">
        <f t="shared" si="74"/>
        <v>990240</v>
      </c>
      <c r="I141" s="124">
        <f t="shared" si="68"/>
        <v>0.98058030343090197</v>
      </c>
      <c r="J141" s="10">
        <f t="shared" si="67"/>
        <v>6093.333333333333</v>
      </c>
      <c r="K141" s="123"/>
      <c r="L141" s="123">
        <f t="shared" si="78"/>
        <v>91399.999999999985</v>
      </c>
      <c r="M141" s="123">
        <f t="shared" si="75"/>
        <v>36000</v>
      </c>
      <c r="N141" s="16">
        <f t="shared" si="76"/>
        <v>0.39387308533916854</v>
      </c>
      <c r="O141" s="14">
        <v>0</v>
      </c>
      <c r="P141" s="3"/>
    </row>
    <row r="142" spans="1:16" ht="15.5" x14ac:dyDescent="0.35">
      <c r="A142" s="1">
        <v>2025</v>
      </c>
      <c r="B142" s="1">
        <v>1</v>
      </c>
      <c r="C142" s="2">
        <v>45658</v>
      </c>
      <c r="D142" s="2">
        <v>45747</v>
      </c>
      <c r="E142" s="21"/>
      <c r="F142" s="17"/>
      <c r="G142" s="17">
        <f t="shared" si="73"/>
        <v>1009851.0000000002</v>
      </c>
      <c r="H142" s="17">
        <f t="shared" si="74"/>
        <v>990240</v>
      </c>
      <c r="I142" s="124">
        <f t="shared" si="68"/>
        <v>0.98058030343090197</v>
      </c>
      <c r="J142" s="10"/>
      <c r="K142" s="123"/>
      <c r="L142" s="123">
        <f t="shared" si="78"/>
        <v>91399.999999999985</v>
      </c>
      <c r="M142" s="123">
        <f t="shared" si="75"/>
        <v>36000</v>
      </c>
      <c r="N142" s="16">
        <f t="shared" si="76"/>
        <v>0.39387308533916854</v>
      </c>
      <c r="O142" s="14"/>
      <c r="P142" s="3"/>
    </row>
    <row r="143" spans="1:16" ht="15.5" x14ac:dyDescent="0.35">
      <c r="A143" s="1">
        <v>2025</v>
      </c>
      <c r="B143" s="1">
        <v>2</v>
      </c>
      <c r="C143" s="2">
        <v>45748</v>
      </c>
      <c r="D143" s="2">
        <v>45838</v>
      </c>
      <c r="E143" s="21"/>
      <c r="F143" s="17"/>
      <c r="G143" s="17">
        <f t="shared" si="73"/>
        <v>1009851.0000000002</v>
      </c>
      <c r="H143" s="17">
        <f t="shared" si="74"/>
        <v>990240</v>
      </c>
      <c r="I143" s="124">
        <f t="shared" si="68"/>
        <v>0.98058030343090197</v>
      </c>
      <c r="J143" s="10"/>
      <c r="K143" s="123"/>
      <c r="L143" s="123">
        <f t="shared" si="78"/>
        <v>91399.999999999985</v>
      </c>
      <c r="M143" s="123">
        <f t="shared" si="75"/>
        <v>36000</v>
      </c>
      <c r="N143" s="16">
        <f t="shared" si="76"/>
        <v>0.39387308533916854</v>
      </c>
      <c r="O143" s="14"/>
      <c r="P143" s="3"/>
    </row>
    <row r="144" spans="1:16" ht="15.5" x14ac:dyDescent="0.35">
      <c r="A144" s="1">
        <v>2025</v>
      </c>
      <c r="B144" s="1">
        <v>3</v>
      </c>
      <c r="C144" s="2">
        <v>45839</v>
      </c>
      <c r="D144" s="2">
        <v>45930</v>
      </c>
      <c r="E144" s="21"/>
      <c r="F144" s="17"/>
      <c r="G144" s="17">
        <f t="shared" si="73"/>
        <v>1009851.0000000002</v>
      </c>
      <c r="H144" s="17">
        <f t="shared" si="74"/>
        <v>990240</v>
      </c>
      <c r="I144" s="124">
        <f t="shared" si="68"/>
        <v>0.98058030343090197</v>
      </c>
      <c r="J144" s="10"/>
      <c r="K144" s="123"/>
      <c r="L144" s="123">
        <f t="shared" si="78"/>
        <v>91399.999999999985</v>
      </c>
      <c r="M144" s="123">
        <f t="shared" si="75"/>
        <v>36000</v>
      </c>
      <c r="N144" s="16">
        <f t="shared" si="76"/>
        <v>0.39387308533916854</v>
      </c>
      <c r="O144" s="14"/>
      <c r="P144" s="3"/>
    </row>
    <row r="145" spans="1:16" ht="15.5" x14ac:dyDescent="0.35">
      <c r="A145" s="1">
        <v>2025</v>
      </c>
      <c r="B145" s="1">
        <v>4</v>
      </c>
      <c r="C145" s="2">
        <v>45931</v>
      </c>
      <c r="D145" s="2">
        <v>46022</v>
      </c>
      <c r="E145" s="21"/>
      <c r="F145" s="17"/>
      <c r="G145" s="17">
        <f t="shared" si="73"/>
        <v>1009851.0000000002</v>
      </c>
      <c r="H145" s="17">
        <f t="shared" si="74"/>
        <v>990240</v>
      </c>
      <c r="I145" s="124">
        <f t="shared" si="68"/>
        <v>0.98058030343090197</v>
      </c>
      <c r="J145" s="10"/>
      <c r="K145" s="123"/>
      <c r="L145" s="123">
        <f t="shared" si="78"/>
        <v>91399.999999999985</v>
      </c>
      <c r="M145" s="123">
        <f t="shared" si="75"/>
        <v>36000</v>
      </c>
      <c r="N145" s="16">
        <f t="shared" si="76"/>
        <v>0.39387308533916854</v>
      </c>
      <c r="O145" s="14"/>
      <c r="P145" s="3"/>
    </row>
    <row r="146" spans="1:16" ht="15.5" x14ac:dyDescent="0.35">
      <c r="A146" s="1">
        <v>2026</v>
      </c>
      <c r="B146" s="1">
        <v>1</v>
      </c>
      <c r="C146" s="2">
        <v>46023</v>
      </c>
      <c r="D146" s="2">
        <v>46112</v>
      </c>
      <c r="E146" s="21"/>
      <c r="F146" s="17"/>
      <c r="G146" s="17">
        <f t="shared" si="73"/>
        <v>1009851.0000000002</v>
      </c>
      <c r="H146" s="17">
        <f t="shared" si="74"/>
        <v>990240</v>
      </c>
      <c r="I146" s="124">
        <f>H146/G146</f>
        <v>0.98058030343090197</v>
      </c>
      <c r="J146" s="10"/>
      <c r="K146" s="123"/>
      <c r="L146" s="123">
        <f t="shared" si="78"/>
        <v>91399.999999999985</v>
      </c>
      <c r="M146" s="123">
        <f t="shared" si="75"/>
        <v>36000</v>
      </c>
      <c r="N146" s="16">
        <f t="shared" si="76"/>
        <v>0.39387308533916854</v>
      </c>
      <c r="O146" s="14"/>
      <c r="P146" s="3"/>
    </row>
    <row r="147" spans="1:16" ht="15.5" x14ac:dyDescent="0.35">
      <c r="A147" s="1">
        <v>2026</v>
      </c>
      <c r="B147" s="1">
        <v>2</v>
      </c>
      <c r="C147" s="2">
        <v>46113</v>
      </c>
      <c r="D147" s="2">
        <v>46203</v>
      </c>
      <c r="E147" s="21"/>
      <c r="F147" s="17"/>
      <c r="G147" s="17">
        <f t="shared" si="73"/>
        <v>1009851.0000000002</v>
      </c>
      <c r="H147" s="17">
        <f t="shared" si="74"/>
        <v>990240</v>
      </c>
      <c r="I147" s="124">
        <f t="shared" ref="I147:I148" si="79">H147/G147</f>
        <v>0.98058030343090197</v>
      </c>
      <c r="J147" s="10"/>
      <c r="K147" s="123"/>
      <c r="L147" s="123">
        <f t="shared" si="78"/>
        <v>91399.999999999985</v>
      </c>
      <c r="M147" s="123">
        <f t="shared" si="75"/>
        <v>36000</v>
      </c>
      <c r="N147" s="16">
        <f t="shared" si="76"/>
        <v>0.39387308533916854</v>
      </c>
      <c r="O147" s="14"/>
      <c r="P147" s="3"/>
    </row>
    <row r="148" spans="1:16" ht="15.5" x14ac:dyDescent="0.35">
      <c r="A148" s="1">
        <v>2026</v>
      </c>
      <c r="B148" s="1">
        <v>3</v>
      </c>
      <c r="C148" s="2">
        <v>46204</v>
      </c>
      <c r="D148" s="2">
        <v>46295</v>
      </c>
      <c r="E148" s="21"/>
      <c r="F148" s="17"/>
      <c r="G148" s="17">
        <f t="shared" si="73"/>
        <v>1009851.0000000002</v>
      </c>
      <c r="H148" s="17">
        <f>SUM(H147+F148)</f>
        <v>990240</v>
      </c>
      <c r="I148" s="124">
        <f t="shared" si="79"/>
        <v>0.98058030343090197</v>
      </c>
      <c r="J148" s="10"/>
      <c r="K148" s="125"/>
      <c r="L148" s="125">
        <f t="shared" si="78"/>
        <v>91399.999999999985</v>
      </c>
      <c r="M148" s="125">
        <f t="shared" si="75"/>
        <v>36000</v>
      </c>
      <c r="N148" s="16">
        <f t="shared" si="76"/>
        <v>0.39387308533916854</v>
      </c>
      <c r="O148" s="14"/>
      <c r="P148" s="3"/>
    </row>
    <row r="149" spans="1:16" ht="15" thickBot="1" x14ac:dyDescent="0.4">
      <c r="A149" s="36" t="s">
        <v>12</v>
      </c>
      <c r="B149" s="36"/>
      <c r="C149" s="36"/>
      <c r="D149" s="37"/>
      <c r="E149" s="38">
        <v>1009851</v>
      </c>
      <c r="F149" s="34">
        <f>SUM(F125:F148)</f>
        <v>990240</v>
      </c>
      <c r="G149" s="34">
        <f>G148</f>
        <v>1009851.0000000002</v>
      </c>
      <c r="H149" s="35">
        <f>H148</f>
        <v>990240</v>
      </c>
      <c r="I149" s="145">
        <f>H149/G149</f>
        <v>0.98058030343090197</v>
      </c>
      <c r="J149" s="39">
        <f>35250+55400+750</f>
        <v>91400</v>
      </c>
      <c r="K149" s="46">
        <f>SUM(K125:K148)</f>
        <v>36000</v>
      </c>
      <c r="L149" s="40">
        <f>L148</f>
        <v>91399.999999999985</v>
      </c>
      <c r="M149" s="41">
        <f>M148</f>
        <v>36000</v>
      </c>
      <c r="N149" s="42">
        <f>M149/L149</f>
        <v>0.39387308533916854</v>
      </c>
      <c r="O149" s="43">
        <f>SUM(O125:O148)</f>
        <v>43</v>
      </c>
      <c r="P149" s="43">
        <f>SUM(P125:P148)</f>
        <v>43</v>
      </c>
    </row>
    <row r="150" spans="1:16" ht="15" thickTop="1" x14ac:dyDescent="0.35">
      <c r="E150" s="33">
        <f>E149+J149</f>
        <v>1101251</v>
      </c>
    </row>
    <row r="152" spans="1:16" x14ac:dyDescent="0.35">
      <c r="A152" s="216" t="s">
        <v>101</v>
      </c>
      <c r="B152" s="216"/>
      <c r="C152" s="216"/>
      <c r="D152" s="216"/>
      <c r="E152" s="217"/>
      <c r="F152" s="217"/>
      <c r="G152" s="217"/>
      <c r="H152" s="217"/>
      <c r="I152" s="217"/>
      <c r="J152" s="217"/>
      <c r="K152" s="217"/>
      <c r="L152" s="217"/>
      <c r="M152" s="217"/>
      <c r="N152" s="217"/>
      <c r="O152" s="216"/>
      <c r="P152" s="216"/>
    </row>
    <row r="153" spans="1:16" ht="15" thickBot="1" x14ac:dyDescent="0.4">
      <c r="A153" s="202" t="s">
        <v>0</v>
      </c>
      <c r="B153" s="204"/>
      <c r="C153" s="204"/>
      <c r="D153" s="204"/>
      <c r="E153" s="193" t="s">
        <v>99</v>
      </c>
      <c r="F153" s="193"/>
      <c r="G153" s="193"/>
      <c r="H153" s="193"/>
      <c r="I153" s="194"/>
      <c r="J153" s="195" t="s">
        <v>100</v>
      </c>
      <c r="K153" s="196"/>
      <c r="L153" s="196"/>
      <c r="M153" s="196"/>
      <c r="N153" s="197"/>
      <c r="O153" s="12"/>
      <c r="P153" s="6"/>
    </row>
    <row r="154" spans="1:16" ht="58.5" thickTop="1" x14ac:dyDescent="0.35">
      <c r="A154" s="7" t="s">
        <v>1</v>
      </c>
      <c r="B154" s="7" t="s">
        <v>2</v>
      </c>
      <c r="C154" s="7" t="s">
        <v>3</v>
      </c>
      <c r="D154" s="9" t="s">
        <v>9</v>
      </c>
      <c r="E154" s="25" t="s">
        <v>4</v>
      </c>
      <c r="F154" s="20" t="s">
        <v>6</v>
      </c>
      <c r="G154" s="20" t="s">
        <v>5</v>
      </c>
      <c r="H154" s="20" t="s">
        <v>7</v>
      </c>
      <c r="I154" s="23" t="s">
        <v>8</v>
      </c>
      <c r="J154" s="25" t="s">
        <v>4</v>
      </c>
      <c r="K154" s="26" t="s">
        <v>6</v>
      </c>
      <c r="L154" s="26" t="s">
        <v>5</v>
      </c>
      <c r="M154" s="26" t="s">
        <v>7</v>
      </c>
      <c r="N154" s="27" t="s">
        <v>8</v>
      </c>
      <c r="O154" s="13" t="s">
        <v>94</v>
      </c>
      <c r="P154" s="8" t="s">
        <v>95</v>
      </c>
    </row>
    <row r="155" spans="1:16" ht="15.5" x14ac:dyDescent="0.35">
      <c r="A155" s="64">
        <v>2020</v>
      </c>
      <c r="B155" s="64">
        <v>4</v>
      </c>
      <c r="C155" s="65">
        <v>44105</v>
      </c>
      <c r="D155" s="65">
        <v>44196</v>
      </c>
      <c r="E155" s="66"/>
      <c r="F155" s="66"/>
      <c r="G155" s="66"/>
      <c r="H155" s="66"/>
      <c r="I155" s="67"/>
      <c r="J155" s="66"/>
      <c r="K155" s="66"/>
      <c r="L155" s="66"/>
      <c r="M155" s="66"/>
      <c r="N155" s="67"/>
      <c r="O155" s="68"/>
      <c r="P155" s="69"/>
    </row>
    <row r="156" spans="1:16" ht="15.5" x14ac:dyDescent="0.35">
      <c r="A156" s="64">
        <v>2021</v>
      </c>
      <c r="B156" s="64">
        <v>1</v>
      </c>
      <c r="C156" s="65">
        <v>44197</v>
      </c>
      <c r="D156" s="65">
        <v>44286</v>
      </c>
      <c r="E156" s="66"/>
      <c r="F156" s="66"/>
      <c r="G156" s="66"/>
      <c r="H156" s="66"/>
      <c r="I156" s="67"/>
      <c r="J156" s="66"/>
      <c r="K156" s="66"/>
      <c r="L156" s="66"/>
      <c r="M156" s="66"/>
      <c r="N156" s="67"/>
      <c r="O156" s="68"/>
      <c r="P156" s="69"/>
    </row>
    <row r="157" spans="1:16" ht="15.5" x14ac:dyDescent="0.35">
      <c r="A157" s="89">
        <v>2021</v>
      </c>
      <c r="B157" s="89">
        <v>2</v>
      </c>
      <c r="C157" s="90">
        <v>44287</v>
      </c>
      <c r="D157" s="90">
        <v>44377</v>
      </c>
      <c r="E157" s="100">
        <f>$E$179/6</f>
        <v>60744.166666666664</v>
      </c>
      <c r="F157" s="92">
        <v>0</v>
      </c>
      <c r="G157" s="92">
        <f>E157</f>
        <v>60744.166666666664</v>
      </c>
      <c r="H157" s="92">
        <f>SUM(F157+0)</f>
        <v>0</v>
      </c>
      <c r="I157" s="101">
        <v>0</v>
      </c>
      <c r="J157" s="102">
        <f>$J$179/6</f>
        <v>1500</v>
      </c>
      <c r="K157" s="103">
        <v>0</v>
      </c>
      <c r="L157" s="104">
        <f>J157</f>
        <v>1500</v>
      </c>
      <c r="M157" s="103">
        <f>SUM(K157+0)</f>
        <v>0</v>
      </c>
      <c r="N157" s="105">
        <v>0</v>
      </c>
      <c r="O157" s="109">
        <v>2</v>
      </c>
      <c r="P157" s="107">
        <v>0</v>
      </c>
    </row>
    <row r="158" spans="1:16" ht="15.5" x14ac:dyDescent="0.35">
      <c r="A158" s="64">
        <v>2021</v>
      </c>
      <c r="B158" s="64">
        <v>3</v>
      </c>
      <c r="C158" s="65">
        <v>44378</v>
      </c>
      <c r="D158" s="65">
        <v>44469</v>
      </c>
      <c r="E158" s="100">
        <f t="shared" ref="E158:E162" si="80">$E$179/6</f>
        <v>60744.166666666664</v>
      </c>
      <c r="F158" s="73">
        <v>388280</v>
      </c>
      <c r="G158" s="73">
        <f t="shared" ref="G158:G159" si="81">G157+E158</f>
        <v>121488.33333333333</v>
      </c>
      <c r="H158" s="73">
        <f t="shared" ref="H158:H162" si="82">SUM(H157+F158)</f>
        <v>388280</v>
      </c>
      <c r="I158" s="74">
        <v>0</v>
      </c>
      <c r="J158" s="102">
        <f t="shared" ref="J158:J162" si="83">$J$179/6</f>
        <v>1500</v>
      </c>
      <c r="K158" s="76">
        <v>9000</v>
      </c>
      <c r="L158" s="76">
        <f>L157+J158</f>
        <v>3000</v>
      </c>
      <c r="M158" s="76">
        <f>SUM(M157+K158)</f>
        <v>9000</v>
      </c>
      <c r="N158" s="118">
        <v>0</v>
      </c>
      <c r="O158" s="119">
        <v>2</v>
      </c>
      <c r="P158" s="68">
        <v>2</v>
      </c>
    </row>
    <row r="159" spans="1:16" ht="15.5" x14ac:dyDescent="0.35">
      <c r="A159" s="64">
        <v>2022</v>
      </c>
      <c r="B159" s="64">
        <v>4</v>
      </c>
      <c r="C159" s="65">
        <v>44470</v>
      </c>
      <c r="D159" s="65">
        <v>44561</v>
      </c>
      <c r="E159" s="100">
        <f t="shared" si="80"/>
        <v>60744.166666666664</v>
      </c>
      <c r="F159" s="73">
        <v>0</v>
      </c>
      <c r="G159" s="73">
        <f t="shared" si="81"/>
        <v>182232.5</v>
      </c>
      <c r="H159" s="73">
        <f t="shared" si="82"/>
        <v>388280</v>
      </c>
      <c r="I159" s="74">
        <f t="shared" ref="I159:I175" si="84">H159/G159</f>
        <v>2.1306847022347823</v>
      </c>
      <c r="J159" s="102">
        <f t="shared" si="83"/>
        <v>1500</v>
      </c>
      <c r="K159" s="76">
        <v>0</v>
      </c>
      <c r="L159" s="76">
        <f t="shared" ref="L159:L162" si="85">L158+J159</f>
        <v>4500</v>
      </c>
      <c r="M159" s="76">
        <f t="shared" ref="M159:M161" si="86">SUM(M158+K159)</f>
        <v>9000</v>
      </c>
      <c r="N159" s="118">
        <f t="shared" ref="N159:N162" si="87">M159/L159</f>
        <v>2</v>
      </c>
      <c r="O159" s="119">
        <v>2</v>
      </c>
      <c r="P159" s="68">
        <v>5</v>
      </c>
    </row>
    <row r="160" spans="1:16" ht="15.5" x14ac:dyDescent="0.35">
      <c r="A160" s="64">
        <v>2022</v>
      </c>
      <c r="B160" s="64">
        <v>1</v>
      </c>
      <c r="C160" s="65">
        <v>44562</v>
      </c>
      <c r="D160" s="65">
        <v>44651</v>
      </c>
      <c r="E160" s="100">
        <f t="shared" si="80"/>
        <v>60744.166666666664</v>
      </c>
      <c r="F160" s="73">
        <v>17339</v>
      </c>
      <c r="G160" s="73">
        <f>G159+E160</f>
        <v>242976.66666666666</v>
      </c>
      <c r="H160" s="73">
        <f t="shared" si="82"/>
        <v>405619</v>
      </c>
      <c r="I160" s="74">
        <f t="shared" si="84"/>
        <v>1.6693742883404443</v>
      </c>
      <c r="J160" s="102">
        <f t="shared" si="83"/>
        <v>1500</v>
      </c>
      <c r="K160" s="76">
        <v>0</v>
      </c>
      <c r="L160" s="76">
        <f t="shared" si="85"/>
        <v>6000</v>
      </c>
      <c r="M160" s="76">
        <f t="shared" si="86"/>
        <v>9000</v>
      </c>
      <c r="N160" s="118">
        <f t="shared" si="87"/>
        <v>1.5</v>
      </c>
      <c r="O160" s="119">
        <v>2</v>
      </c>
      <c r="P160" s="68">
        <v>0</v>
      </c>
    </row>
    <row r="161" spans="1:16" ht="15.5" x14ac:dyDescent="0.35">
      <c r="A161" s="64">
        <v>2022</v>
      </c>
      <c r="B161" s="64">
        <v>2</v>
      </c>
      <c r="C161" s="65">
        <v>44652</v>
      </c>
      <c r="D161" s="65">
        <v>44742</v>
      </c>
      <c r="E161" s="100">
        <f t="shared" si="80"/>
        <v>60744.166666666664</v>
      </c>
      <c r="F161" s="73"/>
      <c r="G161" s="73">
        <f t="shared" ref="G161:G162" si="88">G160+E161</f>
        <v>303720.83333333331</v>
      </c>
      <c r="H161" s="73">
        <f t="shared" si="82"/>
        <v>405619</v>
      </c>
      <c r="I161" s="74">
        <f t="shared" si="84"/>
        <v>1.3354994306723555</v>
      </c>
      <c r="J161" s="102">
        <f t="shared" si="83"/>
        <v>1500</v>
      </c>
      <c r="K161" s="76">
        <v>0</v>
      </c>
      <c r="L161" s="76">
        <f t="shared" si="85"/>
        <v>7500</v>
      </c>
      <c r="M161" s="76">
        <f t="shared" si="86"/>
        <v>9000</v>
      </c>
      <c r="N161" s="118">
        <f t="shared" si="87"/>
        <v>1.2</v>
      </c>
      <c r="O161" s="119">
        <v>2</v>
      </c>
      <c r="P161" s="68">
        <v>0</v>
      </c>
    </row>
    <row r="162" spans="1:16" ht="15.5" x14ac:dyDescent="0.35">
      <c r="A162" s="64">
        <v>2022</v>
      </c>
      <c r="B162" s="64">
        <v>3</v>
      </c>
      <c r="C162" s="65">
        <v>44743</v>
      </c>
      <c r="D162" s="65">
        <v>44834</v>
      </c>
      <c r="E162" s="100">
        <f t="shared" si="80"/>
        <v>60744.166666666664</v>
      </c>
      <c r="F162" s="73">
        <v>17237</v>
      </c>
      <c r="G162" s="73">
        <f t="shared" si="88"/>
        <v>364465</v>
      </c>
      <c r="H162" s="73">
        <f t="shared" si="82"/>
        <v>422856</v>
      </c>
      <c r="I162" s="74">
        <f t="shared" si="84"/>
        <v>1.1602101710726682</v>
      </c>
      <c r="J162" s="102">
        <f t="shared" si="83"/>
        <v>1500</v>
      </c>
      <c r="K162" s="76">
        <v>0</v>
      </c>
      <c r="L162" s="76">
        <f t="shared" si="85"/>
        <v>9000</v>
      </c>
      <c r="M162" s="76">
        <f>SUM(M161+K162)</f>
        <v>9000</v>
      </c>
      <c r="N162" s="118">
        <f t="shared" si="87"/>
        <v>1</v>
      </c>
      <c r="O162" s="119">
        <v>3</v>
      </c>
      <c r="P162" s="68">
        <v>3</v>
      </c>
    </row>
    <row r="163" spans="1:16" ht="15.5" x14ac:dyDescent="0.35">
      <c r="A163" s="64">
        <v>2022</v>
      </c>
      <c r="B163" s="64">
        <v>4</v>
      </c>
      <c r="C163" s="65">
        <v>44835</v>
      </c>
      <c r="D163" s="65">
        <v>44926</v>
      </c>
      <c r="E163" s="100"/>
      <c r="F163" s="73">
        <v>-58391</v>
      </c>
      <c r="G163" s="73">
        <f>G162+E163</f>
        <v>364465</v>
      </c>
      <c r="H163" s="73">
        <f>SUM(H162+F163)</f>
        <v>364465</v>
      </c>
      <c r="I163" s="74">
        <f t="shared" si="84"/>
        <v>1</v>
      </c>
      <c r="J163" s="102"/>
      <c r="K163" s="76"/>
      <c r="L163" s="76">
        <f>L162+J163</f>
        <v>9000</v>
      </c>
      <c r="M163" s="76">
        <f>SUM(M162+K163)</f>
        <v>9000</v>
      </c>
      <c r="N163" s="118">
        <f>M163/L163</f>
        <v>1</v>
      </c>
      <c r="O163" s="119"/>
      <c r="P163" s="68"/>
    </row>
    <row r="164" spans="1:16" ht="15.5" x14ac:dyDescent="0.35">
      <c r="A164" s="64">
        <v>2023</v>
      </c>
      <c r="B164" s="64">
        <v>1</v>
      </c>
      <c r="C164" s="65">
        <v>44927</v>
      </c>
      <c r="D164" s="65">
        <v>45016</v>
      </c>
      <c r="E164" s="100"/>
      <c r="F164" s="73"/>
      <c r="G164" s="73">
        <f t="shared" ref="G164:G178" si="89">G163+E164</f>
        <v>364465</v>
      </c>
      <c r="H164" s="73">
        <f t="shared" ref="H164:H177" si="90">SUM(H163+F164)</f>
        <v>364465</v>
      </c>
      <c r="I164" s="74">
        <f t="shared" si="84"/>
        <v>1</v>
      </c>
      <c r="J164" s="102"/>
      <c r="K164" s="76"/>
      <c r="L164" s="76">
        <f>L163+J164</f>
        <v>9000</v>
      </c>
      <c r="M164" s="76">
        <f t="shared" ref="M164:M178" si="91">SUM(M163+K164)</f>
        <v>9000</v>
      </c>
      <c r="N164" s="118">
        <f t="shared" ref="N164:N178" si="92">M164/L164</f>
        <v>1</v>
      </c>
      <c r="O164" s="119"/>
      <c r="P164" s="68"/>
    </row>
    <row r="165" spans="1:16" ht="15.5" x14ac:dyDescent="0.35">
      <c r="A165" s="64">
        <v>2023</v>
      </c>
      <c r="B165" s="64">
        <v>2</v>
      </c>
      <c r="C165" s="65">
        <v>45017</v>
      </c>
      <c r="D165" s="65">
        <v>45107</v>
      </c>
      <c r="E165" s="100"/>
      <c r="F165" s="73"/>
      <c r="G165" s="73">
        <f t="shared" si="89"/>
        <v>364465</v>
      </c>
      <c r="H165" s="73">
        <f t="shared" si="90"/>
        <v>364465</v>
      </c>
      <c r="I165" s="74">
        <f t="shared" si="84"/>
        <v>1</v>
      </c>
      <c r="J165" s="102"/>
      <c r="K165" s="76"/>
      <c r="L165" s="76">
        <f t="shared" ref="L165" si="93">L164+J165</f>
        <v>9000</v>
      </c>
      <c r="M165" s="76">
        <f t="shared" si="91"/>
        <v>9000</v>
      </c>
      <c r="N165" s="118">
        <f t="shared" si="92"/>
        <v>1</v>
      </c>
      <c r="O165" s="119"/>
      <c r="P165" s="68"/>
    </row>
    <row r="166" spans="1:16" ht="15.5" x14ac:dyDescent="0.35">
      <c r="A166" s="64">
        <v>2023</v>
      </c>
      <c r="B166" s="64">
        <v>3</v>
      </c>
      <c r="C166" s="65">
        <v>45108</v>
      </c>
      <c r="D166" s="65">
        <v>45199</v>
      </c>
      <c r="E166" s="100"/>
      <c r="F166" s="73"/>
      <c r="G166" s="73">
        <f t="shared" si="89"/>
        <v>364465</v>
      </c>
      <c r="H166" s="73">
        <f t="shared" si="90"/>
        <v>364465</v>
      </c>
      <c r="I166" s="74">
        <f t="shared" si="84"/>
        <v>1</v>
      </c>
      <c r="J166" s="102"/>
      <c r="K166" s="76"/>
      <c r="L166" s="76">
        <f>L165+J166</f>
        <v>9000</v>
      </c>
      <c r="M166" s="76">
        <f t="shared" si="91"/>
        <v>9000</v>
      </c>
      <c r="N166" s="118">
        <f t="shared" si="92"/>
        <v>1</v>
      </c>
      <c r="O166" s="119"/>
      <c r="P166" s="68"/>
    </row>
    <row r="167" spans="1:16" ht="15.5" x14ac:dyDescent="0.35">
      <c r="A167" s="64">
        <v>2023</v>
      </c>
      <c r="B167" s="64">
        <v>4</v>
      </c>
      <c r="C167" s="65">
        <v>45200</v>
      </c>
      <c r="D167" s="65">
        <v>45291</v>
      </c>
      <c r="E167" s="72"/>
      <c r="F167" s="73"/>
      <c r="G167" s="73">
        <f t="shared" si="89"/>
        <v>364465</v>
      </c>
      <c r="H167" s="73">
        <f t="shared" si="90"/>
        <v>364465</v>
      </c>
      <c r="I167" s="74">
        <f t="shared" si="84"/>
        <v>1</v>
      </c>
      <c r="J167" s="75"/>
      <c r="K167" s="76"/>
      <c r="L167" s="76">
        <f t="shared" ref="L167:L178" si="94">L166+J167</f>
        <v>9000</v>
      </c>
      <c r="M167" s="76">
        <f t="shared" si="91"/>
        <v>9000</v>
      </c>
      <c r="N167" s="118">
        <f t="shared" si="92"/>
        <v>1</v>
      </c>
      <c r="O167" s="119"/>
      <c r="P167" s="68"/>
    </row>
    <row r="168" spans="1:16" ht="15.5" x14ac:dyDescent="0.35">
      <c r="A168" s="64">
        <v>2024</v>
      </c>
      <c r="B168" s="64">
        <v>1</v>
      </c>
      <c r="C168" s="65">
        <v>45292</v>
      </c>
      <c r="D168" s="65">
        <v>45382</v>
      </c>
      <c r="E168" s="72"/>
      <c r="F168" s="73"/>
      <c r="G168" s="73">
        <f t="shared" si="89"/>
        <v>364465</v>
      </c>
      <c r="H168" s="73">
        <f t="shared" si="90"/>
        <v>364465</v>
      </c>
      <c r="I168" s="74">
        <f t="shared" si="84"/>
        <v>1</v>
      </c>
      <c r="J168" s="75"/>
      <c r="K168" s="76"/>
      <c r="L168" s="76">
        <f t="shared" si="94"/>
        <v>9000</v>
      </c>
      <c r="M168" s="76">
        <f t="shared" si="91"/>
        <v>9000</v>
      </c>
      <c r="N168" s="118">
        <f t="shared" si="92"/>
        <v>1</v>
      </c>
      <c r="O168" s="119"/>
      <c r="P168" s="68"/>
    </row>
    <row r="169" spans="1:16" ht="15.5" x14ac:dyDescent="0.35">
      <c r="A169" s="64">
        <v>2024</v>
      </c>
      <c r="B169" s="64">
        <v>2</v>
      </c>
      <c r="C169" s="65">
        <v>45383</v>
      </c>
      <c r="D169" s="65">
        <v>45473</v>
      </c>
      <c r="E169" s="72"/>
      <c r="F169" s="73"/>
      <c r="G169" s="73">
        <f t="shared" si="89"/>
        <v>364465</v>
      </c>
      <c r="H169" s="73">
        <f t="shared" si="90"/>
        <v>364465</v>
      </c>
      <c r="I169" s="74">
        <f t="shared" si="84"/>
        <v>1</v>
      </c>
      <c r="J169" s="75"/>
      <c r="K169" s="76"/>
      <c r="L169" s="76">
        <f t="shared" si="94"/>
        <v>9000</v>
      </c>
      <c r="M169" s="76">
        <f t="shared" si="91"/>
        <v>9000</v>
      </c>
      <c r="N169" s="118">
        <f t="shared" si="92"/>
        <v>1</v>
      </c>
      <c r="O169" s="119"/>
      <c r="P169" s="68"/>
    </row>
    <row r="170" spans="1:16" ht="15.5" x14ac:dyDescent="0.35">
      <c r="A170" s="64">
        <v>2024</v>
      </c>
      <c r="B170" s="64">
        <v>3</v>
      </c>
      <c r="C170" s="65">
        <v>45474</v>
      </c>
      <c r="D170" s="65">
        <v>45565</v>
      </c>
      <c r="E170" s="72"/>
      <c r="F170" s="73"/>
      <c r="G170" s="73">
        <f t="shared" si="89"/>
        <v>364465</v>
      </c>
      <c r="H170" s="73">
        <f t="shared" si="90"/>
        <v>364465</v>
      </c>
      <c r="I170" s="128">
        <f t="shared" si="84"/>
        <v>1</v>
      </c>
      <c r="J170" s="75"/>
      <c r="K170" s="77"/>
      <c r="L170" s="77">
        <f t="shared" si="94"/>
        <v>9000</v>
      </c>
      <c r="M170" s="77">
        <f t="shared" si="91"/>
        <v>9000</v>
      </c>
      <c r="N170" s="78">
        <f t="shared" si="92"/>
        <v>1</v>
      </c>
      <c r="O170" s="129"/>
      <c r="P170" s="130"/>
    </row>
    <row r="171" spans="1:16" ht="15.5" x14ac:dyDescent="0.35">
      <c r="A171" s="64">
        <v>2024</v>
      </c>
      <c r="B171" s="64">
        <v>4</v>
      </c>
      <c r="C171" s="65">
        <v>45566</v>
      </c>
      <c r="D171" s="65">
        <v>45657</v>
      </c>
      <c r="E171" s="72"/>
      <c r="F171" s="73"/>
      <c r="G171" s="73">
        <f t="shared" si="89"/>
        <v>364465</v>
      </c>
      <c r="H171" s="73">
        <f t="shared" si="90"/>
        <v>364465</v>
      </c>
      <c r="I171" s="128">
        <f t="shared" si="84"/>
        <v>1</v>
      </c>
      <c r="J171" s="75"/>
      <c r="K171" s="77"/>
      <c r="L171" s="77">
        <f t="shared" si="94"/>
        <v>9000</v>
      </c>
      <c r="M171" s="77">
        <f t="shared" si="91"/>
        <v>9000</v>
      </c>
      <c r="N171" s="78">
        <f t="shared" si="92"/>
        <v>1</v>
      </c>
      <c r="O171" s="131"/>
      <c r="P171" s="130"/>
    </row>
    <row r="172" spans="1:16" ht="15.5" x14ac:dyDescent="0.35">
      <c r="A172" s="64">
        <v>2025</v>
      </c>
      <c r="B172" s="64">
        <v>1</v>
      </c>
      <c r="C172" s="65">
        <v>45658</v>
      </c>
      <c r="D172" s="65">
        <v>45747</v>
      </c>
      <c r="E172" s="72"/>
      <c r="F172" s="73"/>
      <c r="G172" s="73">
        <f t="shared" si="89"/>
        <v>364465</v>
      </c>
      <c r="H172" s="73">
        <f t="shared" si="90"/>
        <v>364465</v>
      </c>
      <c r="I172" s="128">
        <f t="shared" si="84"/>
        <v>1</v>
      </c>
      <c r="J172" s="75"/>
      <c r="K172" s="77"/>
      <c r="L172" s="77">
        <f t="shared" si="94"/>
        <v>9000</v>
      </c>
      <c r="M172" s="77">
        <f t="shared" si="91"/>
        <v>9000</v>
      </c>
      <c r="N172" s="78">
        <f t="shared" si="92"/>
        <v>1</v>
      </c>
      <c r="O172" s="131"/>
      <c r="P172" s="130"/>
    </row>
    <row r="173" spans="1:16" ht="15.5" x14ac:dyDescent="0.35">
      <c r="A173" s="64">
        <v>2025</v>
      </c>
      <c r="B173" s="64">
        <v>2</v>
      </c>
      <c r="C173" s="65">
        <v>45748</v>
      </c>
      <c r="D173" s="65">
        <v>45838</v>
      </c>
      <c r="E173" s="72"/>
      <c r="F173" s="73"/>
      <c r="G173" s="73">
        <f t="shared" si="89"/>
        <v>364465</v>
      </c>
      <c r="H173" s="73">
        <f t="shared" si="90"/>
        <v>364465</v>
      </c>
      <c r="I173" s="128">
        <f t="shared" si="84"/>
        <v>1</v>
      </c>
      <c r="J173" s="75"/>
      <c r="K173" s="77"/>
      <c r="L173" s="77">
        <f t="shared" si="94"/>
        <v>9000</v>
      </c>
      <c r="M173" s="77">
        <f t="shared" si="91"/>
        <v>9000</v>
      </c>
      <c r="N173" s="78">
        <f t="shared" si="92"/>
        <v>1</v>
      </c>
      <c r="O173" s="131"/>
      <c r="P173" s="130"/>
    </row>
    <row r="174" spans="1:16" ht="15.5" x14ac:dyDescent="0.35">
      <c r="A174" s="64">
        <v>2025</v>
      </c>
      <c r="B174" s="64">
        <v>3</v>
      </c>
      <c r="C174" s="65">
        <v>45839</v>
      </c>
      <c r="D174" s="65">
        <v>45930</v>
      </c>
      <c r="E174" s="72"/>
      <c r="F174" s="73"/>
      <c r="G174" s="73">
        <f t="shared" si="89"/>
        <v>364465</v>
      </c>
      <c r="H174" s="73">
        <f t="shared" si="90"/>
        <v>364465</v>
      </c>
      <c r="I174" s="128">
        <f t="shared" si="84"/>
        <v>1</v>
      </c>
      <c r="J174" s="75"/>
      <c r="K174" s="77"/>
      <c r="L174" s="77">
        <f t="shared" si="94"/>
        <v>9000</v>
      </c>
      <c r="M174" s="77">
        <f t="shared" si="91"/>
        <v>9000</v>
      </c>
      <c r="N174" s="78">
        <f t="shared" si="92"/>
        <v>1</v>
      </c>
      <c r="O174" s="131"/>
      <c r="P174" s="130"/>
    </row>
    <row r="175" spans="1:16" ht="15.5" x14ac:dyDescent="0.35">
      <c r="A175" s="64">
        <v>2025</v>
      </c>
      <c r="B175" s="64">
        <v>4</v>
      </c>
      <c r="C175" s="65">
        <v>45931</v>
      </c>
      <c r="D175" s="65">
        <v>46022</v>
      </c>
      <c r="E175" s="72"/>
      <c r="F175" s="73"/>
      <c r="G175" s="73">
        <f t="shared" si="89"/>
        <v>364465</v>
      </c>
      <c r="H175" s="73">
        <f t="shared" si="90"/>
        <v>364465</v>
      </c>
      <c r="I175" s="128">
        <f t="shared" si="84"/>
        <v>1</v>
      </c>
      <c r="J175" s="75"/>
      <c r="K175" s="77"/>
      <c r="L175" s="77">
        <f t="shared" si="94"/>
        <v>9000</v>
      </c>
      <c r="M175" s="77">
        <f t="shared" si="91"/>
        <v>9000</v>
      </c>
      <c r="N175" s="78">
        <f t="shared" si="92"/>
        <v>1</v>
      </c>
      <c r="O175" s="131"/>
      <c r="P175" s="130"/>
    </row>
    <row r="176" spans="1:16" ht="15.5" x14ac:dyDescent="0.35">
      <c r="A176" s="64">
        <v>2026</v>
      </c>
      <c r="B176" s="64">
        <v>1</v>
      </c>
      <c r="C176" s="65">
        <v>46023</v>
      </c>
      <c r="D176" s="65">
        <v>46112</v>
      </c>
      <c r="E176" s="72"/>
      <c r="F176" s="73"/>
      <c r="G176" s="73">
        <f t="shared" si="89"/>
        <v>364465</v>
      </c>
      <c r="H176" s="73">
        <f t="shared" si="90"/>
        <v>364465</v>
      </c>
      <c r="I176" s="128">
        <f>H176/G176</f>
        <v>1</v>
      </c>
      <c r="J176" s="75"/>
      <c r="K176" s="77"/>
      <c r="L176" s="77">
        <f t="shared" si="94"/>
        <v>9000</v>
      </c>
      <c r="M176" s="77">
        <f t="shared" si="91"/>
        <v>9000</v>
      </c>
      <c r="N176" s="78">
        <f t="shared" si="92"/>
        <v>1</v>
      </c>
      <c r="O176" s="131"/>
      <c r="P176" s="130"/>
    </row>
    <row r="177" spans="1:16" ht="15.5" x14ac:dyDescent="0.35">
      <c r="A177" s="64">
        <v>2026</v>
      </c>
      <c r="B177" s="64">
        <v>2</v>
      </c>
      <c r="C177" s="65">
        <v>46113</v>
      </c>
      <c r="D177" s="65">
        <v>46203</v>
      </c>
      <c r="E177" s="72"/>
      <c r="F177" s="73"/>
      <c r="G177" s="73">
        <f t="shared" si="89"/>
        <v>364465</v>
      </c>
      <c r="H177" s="73">
        <f t="shared" si="90"/>
        <v>364465</v>
      </c>
      <c r="I177" s="128">
        <f t="shared" ref="I177:I178" si="95">H177/G177</f>
        <v>1</v>
      </c>
      <c r="J177" s="75"/>
      <c r="K177" s="77"/>
      <c r="L177" s="77">
        <f t="shared" si="94"/>
        <v>9000</v>
      </c>
      <c r="M177" s="77">
        <f t="shared" si="91"/>
        <v>9000</v>
      </c>
      <c r="N177" s="78">
        <f t="shared" si="92"/>
        <v>1</v>
      </c>
      <c r="O177" s="131"/>
      <c r="P177" s="130"/>
    </row>
    <row r="178" spans="1:16" ht="15.5" x14ac:dyDescent="0.35">
      <c r="A178" s="64">
        <v>2026</v>
      </c>
      <c r="B178" s="64">
        <v>3</v>
      </c>
      <c r="C178" s="65">
        <v>46204</v>
      </c>
      <c r="D178" s="65">
        <v>46295</v>
      </c>
      <c r="E178" s="72"/>
      <c r="F178" s="73"/>
      <c r="G178" s="73">
        <f t="shared" si="89"/>
        <v>364465</v>
      </c>
      <c r="H178" s="73">
        <f>SUM(H177+F178)</f>
        <v>364465</v>
      </c>
      <c r="I178" s="128">
        <f t="shared" si="95"/>
        <v>1</v>
      </c>
      <c r="J178" s="75"/>
      <c r="K178" s="132"/>
      <c r="L178" s="132">
        <f t="shared" si="94"/>
        <v>9000</v>
      </c>
      <c r="M178" s="132">
        <f t="shared" si="91"/>
        <v>9000</v>
      </c>
      <c r="N178" s="78">
        <f t="shared" si="92"/>
        <v>1</v>
      </c>
      <c r="O178" s="131"/>
      <c r="P178" s="130"/>
    </row>
    <row r="179" spans="1:16" ht="15" thickBot="1" x14ac:dyDescent="0.4">
      <c r="A179" s="133" t="s">
        <v>12</v>
      </c>
      <c r="B179" s="133"/>
      <c r="C179" s="133"/>
      <c r="D179" s="134"/>
      <c r="E179" s="135">
        <v>364465</v>
      </c>
      <c r="F179" s="136">
        <f>SUM(F155:F178)</f>
        <v>364465</v>
      </c>
      <c r="G179" s="136">
        <f>G178</f>
        <v>364465</v>
      </c>
      <c r="H179" s="137">
        <f>H178</f>
        <v>364465</v>
      </c>
      <c r="I179" s="144">
        <f>H179/G179</f>
        <v>1</v>
      </c>
      <c r="J179" s="138">
        <v>9000</v>
      </c>
      <c r="K179" s="139">
        <f>SUM(K155:K178)</f>
        <v>9000</v>
      </c>
      <c r="L179" s="140">
        <f>L178</f>
        <v>9000</v>
      </c>
      <c r="M179" s="141">
        <f>M178</f>
        <v>9000</v>
      </c>
      <c r="N179" s="142">
        <f>M179/L179</f>
        <v>1</v>
      </c>
      <c r="O179" s="143">
        <f>SUM(O155:O178)</f>
        <v>13</v>
      </c>
      <c r="P179" s="143">
        <f>SUM(P155:P178)</f>
        <v>10</v>
      </c>
    </row>
    <row r="180" spans="1:16" ht="15" thickTop="1" x14ac:dyDescent="0.35">
      <c r="E180" s="33">
        <f>E179+J179</f>
        <v>373465</v>
      </c>
    </row>
    <row r="182" spans="1:16" x14ac:dyDescent="0.35">
      <c r="A182" s="216" t="s">
        <v>102</v>
      </c>
      <c r="B182" s="216"/>
      <c r="C182" s="216"/>
      <c r="D182" s="216"/>
      <c r="E182" s="217"/>
      <c r="F182" s="217"/>
      <c r="G182" s="217"/>
      <c r="H182" s="217"/>
      <c r="I182" s="217"/>
      <c r="J182" s="217"/>
      <c r="K182" s="217"/>
      <c r="L182" s="217"/>
      <c r="M182" s="217"/>
      <c r="N182" s="217"/>
      <c r="O182" s="216"/>
      <c r="P182" s="216"/>
    </row>
    <row r="183" spans="1:16" ht="15" thickBot="1" x14ac:dyDescent="0.4">
      <c r="A183" s="202" t="s">
        <v>0</v>
      </c>
      <c r="B183" s="204"/>
      <c r="C183" s="204"/>
      <c r="D183" s="204"/>
      <c r="E183" s="193" t="s">
        <v>99</v>
      </c>
      <c r="F183" s="193"/>
      <c r="G183" s="193"/>
      <c r="H183" s="193"/>
      <c r="I183" s="194"/>
      <c r="J183" s="195" t="s">
        <v>100</v>
      </c>
      <c r="K183" s="196"/>
      <c r="L183" s="196"/>
      <c r="M183" s="196"/>
      <c r="N183" s="197"/>
      <c r="O183" s="12"/>
      <c r="P183" s="6"/>
    </row>
    <row r="184" spans="1:16" ht="58.5" thickTop="1" x14ac:dyDescent="0.35">
      <c r="A184" s="7" t="s">
        <v>1</v>
      </c>
      <c r="B184" s="7" t="s">
        <v>2</v>
      </c>
      <c r="C184" s="7" t="s">
        <v>3</v>
      </c>
      <c r="D184" s="9" t="s">
        <v>9</v>
      </c>
      <c r="E184" s="25" t="s">
        <v>4</v>
      </c>
      <c r="F184" s="20" t="s">
        <v>6</v>
      </c>
      <c r="G184" s="20" t="s">
        <v>5</v>
      </c>
      <c r="H184" s="20" t="s">
        <v>7</v>
      </c>
      <c r="I184" s="23" t="s">
        <v>8</v>
      </c>
      <c r="J184" s="25" t="s">
        <v>4</v>
      </c>
      <c r="K184" s="26" t="s">
        <v>6</v>
      </c>
      <c r="L184" s="26" t="s">
        <v>5</v>
      </c>
      <c r="M184" s="26" t="s">
        <v>7</v>
      </c>
      <c r="N184" s="27" t="s">
        <v>8</v>
      </c>
      <c r="O184" s="13" t="s">
        <v>94</v>
      </c>
      <c r="P184" s="8" t="s">
        <v>95</v>
      </c>
    </row>
    <row r="185" spans="1:16" ht="15.5" x14ac:dyDescent="0.35">
      <c r="A185" s="64">
        <v>2020</v>
      </c>
      <c r="B185" s="64">
        <v>4</v>
      </c>
      <c r="C185" s="65">
        <v>44105</v>
      </c>
      <c r="D185" s="65">
        <v>44196</v>
      </c>
      <c r="E185" s="66"/>
      <c r="F185" s="66"/>
      <c r="G185" s="66"/>
      <c r="H185" s="66"/>
      <c r="I185" s="67"/>
      <c r="J185" s="66"/>
      <c r="K185" s="66"/>
      <c r="L185" s="66"/>
      <c r="M185" s="66"/>
      <c r="N185" s="67"/>
      <c r="O185" s="68"/>
      <c r="P185" s="69"/>
    </row>
    <row r="186" spans="1:16" ht="15.5" x14ac:dyDescent="0.35">
      <c r="A186" s="64">
        <v>2021</v>
      </c>
      <c r="B186" s="64">
        <v>1</v>
      </c>
      <c r="C186" s="65">
        <v>44197</v>
      </c>
      <c r="D186" s="65">
        <v>44286</v>
      </c>
      <c r="E186" s="66"/>
      <c r="F186" s="66"/>
      <c r="G186" s="66"/>
      <c r="H186" s="66"/>
      <c r="I186" s="67"/>
      <c r="J186" s="66"/>
      <c r="K186" s="66"/>
      <c r="L186" s="66"/>
      <c r="M186" s="66"/>
      <c r="N186" s="67"/>
      <c r="O186" s="68"/>
      <c r="P186" s="69"/>
    </row>
    <row r="187" spans="1:16" ht="15.5" x14ac:dyDescent="0.35">
      <c r="A187" s="89">
        <v>2021</v>
      </c>
      <c r="B187" s="89">
        <v>2</v>
      </c>
      <c r="C187" s="90">
        <v>44287</v>
      </c>
      <c r="D187" s="90">
        <v>44377</v>
      </c>
      <c r="E187" s="100">
        <f>$E$209/9</f>
        <v>48281.333333333336</v>
      </c>
      <c r="F187" s="92">
        <v>0</v>
      </c>
      <c r="G187" s="92">
        <f>E187</f>
        <v>48281.333333333336</v>
      </c>
      <c r="H187" s="92">
        <f>SUM(F187+0)</f>
        <v>0</v>
      </c>
      <c r="I187" s="101">
        <v>0</v>
      </c>
      <c r="J187" s="102">
        <f>$J$209/9</f>
        <v>3333.3333333333335</v>
      </c>
      <c r="K187" s="103">
        <v>0</v>
      </c>
      <c r="L187" s="104">
        <f>J187</f>
        <v>3333.3333333333335</v>
      </c>
      <c r="M187" s="103">
        <f>SUM(K187+0)</f>
        <v>0</v>
      </c>
      <c r="N187" s="105">
        <v>0</v>
      </c>
      <c r="O187" s="109">
        <v>5</v>
      </c>
      <c r="P187" s="107">
        <v>0</v>
      </c>
    </row>
    <row r="188" spans="1:16" ht="15.5" x14ac:dyDescent="0.35">
      <c r="A188" s="64">
        <v>2021</v>
      </c>
      <c r="B188" s="64">
        <v>3</v>
      </c>
      <c r="C188" s="65">
        <v>44378</v>
      </c>
      <c r="D188" s="65">
        <v>44469</v>
      </c>
      <c r="E188" s="100">
        <f t="shared" ref="E188:E195" si="96">$E$209/9</f>
        <v>48281.333333333336</v>
      </c>
      <c r="F188" s="73">
        <v>344012</v>
      </c>
      <c r="G188" s="73">
        <f t="shared" ref="G188:G189" si="97">G187+E188</f>
        <v>96562.666666666672</v>
      </c>
      <c r="H188" s="73">
        <f t="shared" ref="H188:H192" si="98">SUM(H187+F188)</f>
        <v>344012</v>
      </c>
      <c r="I188" s="74">
        <v>0</v>
      </c>
      <c r="J188" s="102">
        <f t="shared" ref="J188:J195" si="99">$J$209/9</f>
        <v>3333.3333333333335</v>
      </c>
      <c r="K188" s="76">
        <v>26250</v>
      </c>
      <c r="L188" s="76">
        <f>L187+J188</f>
        <v>6666.666666666667</v>
      </c>
      <c r="M188" s="76">
        <f>SUM(M187+K188)</f>
        <v>26250</v>
      </c>
      <c r="N188" s="118">
        <v>0</v>
      </c>
      <c r="O188" s="119">
        <v>5</v>
      </c>
      <c r="P188" s="68">
        <v>17</v>
      </c>
    </row>
    <row r="189" spans="1:16" ht="15.5" x14ac:dyDescent="0.35">
      <c r="A189" s="64">
        <v>2022</v>
      </c>
      <c r="B189" s="64">
        <v>4</v>
      </c>
      <c r="C189" s="65">
        <v>44470</v>
      </c>
      <c r="D189" s="65">
        <v>44561</v>
      </c>
      <c r="E189" s="100">
        <f t="shared" si="96"/>
        <v>48281.333333333336</v>
      </c>
      <c r="F189" s="73">
        <v>33023</v>
      </c>
      <c r="G189" s="73">
        <f t="shared" si="97"/>
        <v>144844</v>
      </c>
      <c r="H189" s="73">
        <f t="shared" si="98"/>
        <v>377035</v>
      </c>
      <c r="I189" s="74">
        <f t="shared" ref="I189:I205" si="100">H189/G189</f>
        <v>2.6030418933473256</v>
      </c>
      <c r="J189" s="102">
        <f t="shared" si="99"/>
        <v>3333.3333333333335</v>
      </c>
      <c r="K189" s="76">
        <v>750</v>
      </c>
      <c r="L189" s="76">
        <f t="shared" ref="L189:L192" si="101">L188+J189</f>
        <v>10000</v>
      </c>
      <c r="M189" s="76">
        <f t="shared" ref="M189:M191" si="102">SUM(M188+K189)</f>
        <v>27000</v>
      </c>
      <c r="N189" s="118">
        <f t="shared" ref="N189:N192" si="103">M189/L189</f>
        <v>2.7</v>
      </c>
      <c r="O189" s="119">
        <v>5</v>
      </c>
      <c r="P189" s="68">
        <v>10</v>
      </c>
    </row>
    <row r="190" spans="1:16" ht="15.5" x14ac:dyDescent="0.35">
      <c r="A190" s="64">
        <v>2022</v>
      </c>
      <c r="B190" s="64">
        <v>1</v>
      </c>
      <c r="C190" s="65">
        <v>44562</v>
      </c>
      <c r="D190" s="65">
        <v>44651</v>
      </c>
      <c r="E190" s="100">
        <f t="shared" si="96"/>
        <v>48281.333333333336</v>
      </c>
      <c r="F190" s="73">
        <v>37409</v>
      </c>
      <c r="G190" s="73">
        <f>G189+E190</f>
        <v>193125.33333333334</v>
      </c>
      <c r="H190" s="73">
        <f t="shared" si="98"/>
        <v>414444</v>
      </c>
      <c r="I190" s="74">
        <f t="shared" si="100"/>
        <v>2.1459846455496949</v>
      </c>
      <c r="J190" s="102">
        <f t="shared" si="99"/>
        <v>3333.3333333333335</v>
      </c>
      <c r="K190" s="76">
        <v>750</v>
      </c>
      <c r="L190" s="76">
        <f t="shared" si="101"/>
        <v>13333.333333333334</v>
      </c>
      <c r="M190" s="76">
        <f t="shared" si="102"/>
        <v>27750</v>
      </c>
      <c r="N190" s="118">
        <f t="shared" si="103"/>
        <v>2.0812499999999998</v>
      </c>
      <c r="O190" s="119">
        <v>5</v>
      </c>
      <c r="P190" s="68">
        <v>0</v>
      </c>
    </row>
    <row r="191" spans="1:16" ht="15.5" x14ac:dyDescent="0.35">
      <c r="A191" s="64">
        <v>2022</v>
      </c>
      <c r="B191" s="64">
        <v>2</v>
      </c>
      <c r="C191" s="65">
        <v>44652</v>
      </c>
      <c r="D191" s="65">
        <v>44742</v>
      </c>
      <c r="E191" s="100">
        <f t="shared" si="96"/>
        <v>48281.333333333336</v>
      </c>
      <c r="F191" s="73">
        <v>9422</v>
      </c>
      <c r="G191" s="73">
        <f t="shared" ref="G191:G192" si="104">G190+E191</f>
        <v>241406.66666666669</v>
      </c>
      <c r="H191" s="73">
        <f t="shared" si="98"/>
        <v>423866</v>
      </c>
      <c r="I191" s="74">
        <f t="shared" si="100"/>
        <v>1.7558172930877356</v>
      </c>
      <c r="J191" s="102">
        <f t="shared" si="99"/>
        <v>3333.3333333333335</v>
      </c>
      <c r="K191" s="76">
        <v>0</v>
      </c>
      <c r="L191" s="76">
        <f t="shared" si="101"/>
        <v>16666.666666666668</v>
      </c>
      <c r="M191" s="76">
        <f t="shared" si="102"/>
        <v>27750</v>
      </c>
      <c r="N191" s="118">
        <f t="shared" si="103"/>
        <v>1.6649999999999998</v>
      </c>
      <c r="O191" s="119">
        <v>5</v>
      </c>
      <c r="P191" s="68">
        <v>0</v>
      </c>
    </row>
    <row r="192" spans="1:16" ht="15.5" x14ac:dyDescent="0.35">
      <c r="A192" s="64">
        <v>2022</v>
      </c>
      <c r="B192" s="64">
        <v>3</v>
      </c>
      <c r="C192" s="65">
        <v>44743</v>
      </c>
      <c r="D192" s="65">
        <v>44834</v>
      </c>
      <c r="E192" s="100">
        <f t="shared" si="96"/>
        <v>48281.333333333336</v>
      </c>
      <c r="F192" s="73">
        <v>0</v>
      </c>
      <c r="G192" s="73">
        <f t="shared" si="104"/>
        <v>289688</v>
      </c>
      <c r="H192" s="73">
        <f t="shared" si="98"/>
        <v>423866</v>
      </c>
      <c r="I192" s="74">
        <f t="shared" si="100"/>
        <v>1.4631810775731131</v>
      </c>
      <c r="J192" s="102">
        <f t="shared" si="99"/>
        <v>3333.3333333333335</v>
      </c>
      <c r="K192" s="76">
        <v>2250</v>
      </c>
      <c r="L192" s="76">
        <f t="shared" si="101"/>
        <v>20000</v>
      </c>
      <c r="M192" s="76">
        <f>SUM(M191+K192)</f>
        <v>30000</v>
      </c>
      <c r="N192" s="118">
        <f t="shared" si="103"/>
        <v>1.5</v>
      </c>
      <c r="O192" s="119">
        <v>5</v>
      </c>
      <c r="P192" s="68">
        <v>1</v>
      </c>
    </row>
    <row r="193" spans="1:16" ht="15.5" x14ac:dyDescent="0.35">
      <c r="A193" s="64">
        <v>2022</v>
      </c>
      <c r="B193" s="64">
        <v>4</v>
      </c>
      <c r="C193" s="65">
        <v>44835</v>
      </c>
      <c r="D193" s="65">
        <v>44926</v>
      </c>
      <c r="E193" s="100">
        <f t="shared" si="96"/>
        <v>48281.333333333336</v>
      </c>
      <c r="F193" s="73">
        <v>10666</v>
      </c>
      <c r="G193" s="73">
        <f>G192+E193</f>
        <v>337969.33333333331</v>
      </c>
      <c r="H193" s="73">
        <f>SUM(H192+F193)</f>
        <v>434532</v>
      </c>
      <c r="I193" s="74">
        <f t="shared" si="100"/>
        <v>1.2857142857142858</v>
      </c>
      <c r="J193" s="102">
        <f t="shared" si="99"/>
        <v>3333.3333333333335</v>
      </c>
      <c r="K193" s="76">
        <v>0</v>
      </c>
      <c r="L193" s="76">
        <f>L192+J193</f>
        <v>23333.333333333332</v>
      </c>
      <c r="M193" s="76">
        <f>SUM(M192+K193)</f>
        <v>30000</v>
      </c>
      <c r="N193" s="118">
        <f>M193/L193</f>
        <v>1.2857142857142858</v>
      </c>
      <c r="O193" s="119">
        <v>6</v>
      </c>
      <c r="P193" s="68">
        <v>0</v>
      </c>
    </row>
    <row r="194" spans="1:16" ht="15.5" x14ac:dyDescent="0.35">
      <c r="A194" s="64">
        <v>2023</v>
      </c>
      <c r="B194" s="64">
        <v>1</v>
      </c>
      <c r="C194" s="65">
        <v>44927</v>
      </c>
      <c r="D194" s="65">
        <v>45016</v>
      </c>
      <c r="E194" s="100">
        <f t="shared" si="96"/>
        <v>48281.333333333336</v>
      </c>
      <c r="F194" s="73">
        <v>0</v>
      </c>
      <c r="G194" s="73">
        <f t="shared" ref="G194:G208" si="105">G193+E194</f>
        <v>386250.66666666663</v>
      </c>
      <c r="H194" s="73">
        <f t="shared" ref="H194:H207" si="106">SUM(H193+F194)</f>
        <v>434532</v>
      </c>
      <c r="I194" s="74">
        <f t="shared" si="100"/>
        <v>1.1250000000000002</v>
      </c>
      <c r="J194" s="102">
        <f t="shared" si="99"/>
        <v>3333.3333333333335</v>
      </c>
      <c r="K194" s="76">
        <v>0</v>
      </c>
      <c r="L194" s="76">
        <f>L193+J194</f>
        <v>26666.666666666664</v>
      </c>
      <c r="M194" s="76">
        <f t="shared" ref="M194:M208" si="107">SUM(M193+K194)</f>
        <v>30000</v>
      </c>
      <c r="N194" s="118">
        <f t="shared" ref="N194:N208" si="108">M194/L194</f>
        <v>1.125</v>
      </c>
      <c r="O194" s="119">
        <v>6</v>
      </c>
      <c r="P194" s="68">
        <v>0</v>
      </c>
    </row>
    <row r="195" spans="1:16" ht="15.5" x14ac:dyDescent="0.35">
      <c r="A195" s="64">
        <v>2023</v>
      </c>
      <c r="B195" s="64">
        <v>2</v>
      </c>
      <c r="C195" s="65">
        <v>45017</v>
      </c>
      <c r="D195" s="65">
        <v>45107</v>
      </c>
      <c r="E195" s="100">
        <f t="shared" si="96"/>
        <v>48281.333333333336</v>
      </c>
      <c r="F195" s="73">
        <v>0</v>
      </c>
      <c r="G195" s="73">
        <f t="shared" si="105"/>
        <v>434531.99999999994</v>
      </c>
      <c r="H195" s="73">
        <f t="shared" si="106"/>
        <v>434532</v>
      </c>
      <c r="I195" s="74">
        <f t="shared" si="100"/>
        <v>1.0000000000000002</v>
      </c>
      <c r="J195" s="102">
        <f t="shared" si="99"/>
        <v>3333.3333333333335</v>
      </c>
      <c r="K195" s="76">
        <v>0</v>
      </c>
      <c r="L195" s="76">
        <f t="shared" ref="L195" si="109">L194+J195</f>
        <v>29999.999999999996</v>
      </c>
      <c r="M195" s="76">
        <f t="shared" si="107"/>
        <v>30000</v>
      </c>
      <c r="N195" s="118">
        <f t="shared" si="108"/>
        <v>1.0000000000000002</v>
      </c>
      <c r="O195" s="119"/>
      <c r="P195" s="68"/>
    </row>
    <row r="196" spans="1:16" ht="15.5" x14ac:dyDescent="0.35">
      <c r="A196" s="64">
        <v>2023</v>
      </c>
      <c r="B196" s="64">
        <v>3</v>
      </c>
      <c r="C196" s="65">
        <v>45108</v>
      </c>
      <c r="D196" s="65">
        <v>45199</v>
      </c>
      <c r="E196" s="100"/>
      <c r="F196" s="73"/>
      <c r="G196" s="73">
        <f t="shared" si="105"/>
        <v>434531.99999999994</v>
      </c>
      <c r="H196" s="73">
        <f t="shared" si="106"/>
        <v>434532</v>
      </c>
      <c r="I196" s="74">
        <f t="shared" si="100"/>
        <v>1.0000000000000002</v>
      </c>
      <c r="J196" s="102"/>
      <c r="K196" s="76"/>
      <c r="L196" s="76">
        <f>L195+J196</f>
        <v>29999.999999999996</v>
      </c>
      <c r="M196" s="76">
        <f t="shared" si="107"/>
        <v>30000</v>
      </c>
      <c r="N196" s="118">
        <f t="shared" si="108"/>
        <v>1.0000000000000002</v>
      </c>
      <c r="O196" s="119"/>
      <c r="P196" s="68"/>
    </row>
    <row r="197" spans="1:16" ht="15.5" x14ac:dyDescent="0.35">
      <c r="A197" s="64">
        <v>2023</v>
      </c>
      <c r="B197" s="64">
        <v>4</v>
      </c>
      <c r="C197" s="65">
        <v>45200</v>
      </c>
      <c r="D197" s="65">
        <v>45291</v>
      </c>
      <c r="E197" s="72"/>
      <c r="F197" s="73"/>
      <c r="G197" s="73">
        <f t="shared" si="105"/>
        <v>434531.99999999994</v>
      </c>
      <c r="H197" s="73">
        <f t="shared" si="106"/>
        <v>434532</v>
      </c>
      <c r="I197" s="74">
        <f t="shared" si="100"/>
        <v>1.0000000000000002</v>
      </c>
      <c r="J197" s="75"/>
      <c r="K197" s="76"/>
      <c r="L197" s="76">
        <f t="shared" ref="L197:L208" si="110">L196+J197</f>
        <v>29999.999999999996</v>
      </c>
      <c r="M197" s="76">
        <f t="shared" si="107"/>
        <v>30000</v>
      </c>
      <c r="N197" s="118">
        <f t="shared" si="108"/>
        <v>1.0000000000000002</v>
      </c>
      <c r="O197" s="119"/>
      <c r="P197" s="68"/>
    </row>
    <row r="198" spans="1:16" ht="15.5" x14ac:dyDescent="0.35">
      <c r="A198" s="64">
        <v>2024</v>
      </c>
      <c r="B198" s="64">
        <v>1</v>
      </c>
      <c r="C198" s="65">
        <v>45292</v>
      </c>
      <c r="D198" s="65">
        <v>45382</v>
      </c>
      <c r="E198" s="72"/>
      <c r="F198" s="73"/>
      <c r="G198" s="73">
        <f t="shared" si="105"/>
        <v>434531.99999999994</v>
      </c>
      <c r="H198" s="73">
        <f t="shared" si="106"/>
        <v>434532</v>
      </c>
      <c r="I198" s="74">
        <f t="shared" si="100"/>
        <v>1.0000000000000002</v>
      </c>
      <c r="J198" s="75"/>
      <c r="K198" s="76"/>
      <c r="L198" s="76">
        <f t="shared" si="110"/>
        <v>29999.999999999996</v>
      </c>
      <c r="M198" s="76">
        <f t="shared" si="107"/>
        <v>30000</v>
      </c>
      <c r="N198" s="118">
        <f t="shared" si="108"/>
        <v>1.0000000000000002</v>
      </c>
      <c r="O198" s="119"/>
      <c r="P198" s="68"/>
    </row>
    <row r="199" spans="1:16" ht="15.5" x14ac:dyDescent="0.35">
      <c r="A199" s="64">
        <v>2024</v>
      </c>
      <c r="B199" s="64">
        <v>2</v>
      </c>
      <c r="C199" s="65">
        <v>45383</v>
      </c>
      <c r="D199" s="65">
        <v>45473</v>
      </c>
      <c r="E199" s="72"/>
      <c r="F199" s="73"/>
      <c r="G199" s="73">
        <f t="shared" si="105"/>
        <v>434531.99999999994</v>
      </c>
      <c r="H199" s="73">
        <f t="shared" si="106"/>
        <v>434532</v>
      </c>
      <c r="I199" s="74">
        <f t="shared" si="100"/>
        <v>1.0000000000000002</v>
      </c>
      <c r="J199" s="75"/>
      <c r="K199" s="76"/>
      <c r="L199" s="76">
        <f t="shared" si="110"/>
        <v>29999.999999999996</v>
      </c>
      <c r="M199" s="76">
        <f t="shared" si="107"/>
        <v>30000</v>
      </c>
      <c r="N199" s="118">
        <f t="shared" si="108"/>
        <v>1.0000000000000002</v>
      </c>
      <c r="O199" s="119"/>
      <c r="P199" s="68"/>
    </row>
    <row r="200" spans="1:16" ht="15.5" x14ac:dyDescent="0.35">
      <c r="A200" s="64">
        <v>2024</v>
      </c>
      <c r="B200" s="64">
        <v>3</v>
      </c>
      <c r="C200" s="65">
        <v>45474</v>
      </c>
      <c r="D200" s="65">
        <v>45565</v>
      </c>
      <c r="E200" s="72"/>
      <c r="F200" s="73"/>
      <c r="G200" s="73">
        <f t="shared" si="105"/>
        <v>434531.99999999994</v>
      </c>
      <c r="H200" s="73">
        <f t="shared" si="106"/>
        <v>434532</v>
      </c>
      <c r="I200" s="128">
        <f t="shared" si="100"/>
        <v>1.0000000000000002</v>
      </c>
      <c r="J200" s="75"/>
      <c r="K200" s="77"/>
      <c r="L200" s="77">
        <f t="shared" si="110"/>
        <v>29999.999999999996</v>
      </c>
      <c r="M200" s="77">
        <f t="shared" si="107"/>
        <v>30000</v>
      </c>
      <c r="N200" s="78">
        <f t="shared" si="108"/>
        <v>1.0000000000000002</v>
      </c>
      <c r="O200" s="129"/>
      <c r="P200" s="130"/>
    </row>
    <row r="201" spans="1:16" ht="15.5" x14ac:dyDescent="0.35">
      <c r="A201" s="64">
        <v>2024</v>
      </c>
      <c r="B201" s="64">
        <v>4</v>
      </c>
      <c r="C201" s="65">
        <v>45566</v>
      </c>
      <c r="D201" s="65">
        <v>45657</v>
      </c>
      <c r="E201" s="72"/>
      <c r="F201" s="73"/>
      <c r="G201" s="73">
        <f t="shared" si="105"/>
        <v>434531.99999999994</v>
      </c>
      <c r="H201" s="73">
        <f t="shared" si="106"/>
        <v>434532</v>
      </c>
      <c r="I201" s="128">
        <f t="shared" si="100"/>
        <v>1.0000000000000002</v>
      </c>
      <c r="J201" s="75"/>
      <c r="K201" s="77"/>
      <c r="L201" s="77">
        <f t="shared" si="110"/>
        <v>29999.999999999996</v>
      </c>
      <c r="M201" s="77">
        <f t="shared" si="107"/>
        <v>30000</v>
      </c>
      <c r="N201" s="78">
        <f t="shared" si="108"/>
        <v>1.0000000000000002</v>
      </c>
      <c r="O201" s="131"/>
      <c r="P201" s="130"/>
    </row>
    <row r="202" spans="1:16" ht="15.5" x14ac:dyDescent="0.35">
      <c r="A202" s="64">
        <v>2025</v>
      </c>
      <c r="B202" s="64">
        <v>1</v>
      </c>
      <c r="C202" s="65">
        <v>45658</v>
      </c>
      <c r="D202" s="65">
        <v>45747</v>
      </c>
      <c r="E202" s="72"/>
      <c r="F202" s="73"/>
      <c r="G202" s="73">
        <f t="shared" si="105"/>
        <v>434531.99999999994</v>
      </c>
      <c r="H202" s="73">
        <f t="shared" si="106"/>
        <v>434532</v>
      </c>
      <c r="I202" s="128">
        <f t="shared" si="100"/>
        <v>1.0000000000000002</v>
      </c>
      <c r="J202" s="75"/>
      <c r="K202" s="77"/>
      <c r="L202" s="77">
        <f t="shared" si="110"/>
        <v>29999.999999999996</v>
      </c>
      <c r="M202" s="77">
        <f t="shared" si="107"/>
        <v>30000</v>
      </c>
      <c r="N202" s="78">
        <f t="shared" si="108"/>
        <v>1.0000000000000002</v>
      </c>
      <c r="O202" s="131"/>
      <c r="P202" s="130"/>
    </row>
    <row r="203" spans="1:16" ht="15.5" x14ac:dyDescent="0.35">
      <c r="A203" s="64">
        <v>2025</v>
      </c>
      <c r="B203" s="64">
        <v>2</v>
      </c>
      <c r="C203" s="65">
        <v>45748</v>
      </c>
      <c r="D203" s="65">
        <v>45838</v>
      </c>
      <c r="E203" s="72"/>
      <c r="F203" s="73"/>
      <c r="G203" s="73">
        <f t="shared" si="105"/>
        <v>434531.99999999994</v>
      </c>
      <c r="H203" s="73">
        <f t="shared" si="106"/>
        <v>434532</v>
      </c>
      <c r="I203" s="128">
        <f t="shared" si="100"/>
        <v>1.0000000000000002</v>
      </c>
      <c r="J203" s="75"/>
      <c r="K203" s="77"/>
      <c r="L203" s="77">
        <f t="shared" si="110"/>
        <v>29999.999999999996</v>
      </c>
      <c r="M203" s="77">
        <f t="shared" si="107"/>
        <v>30000</v>
      </c>
      <c r="N203" s="78">
        <f t="shared" si="108"/>
        <v>1.0000000000000002</v>
      </c>
      <c r="O203" s="131"/>
      <c r="P203" s="130"/>
    </row>
    <row r="204" spans="1:16" ht="15.5" x14ac:dyDescent="0.35">
      <c r="A204" s="64">
        <v>2025</v>
      </c>
      <c r="B204" s="64">
        <v>3</v>
      </c>
      <c r="C204" s="65">
        <v>45839</v>
      </c>
      <c r="D204" s="65">
        <v>45930</v>
      </c>
      <c r="E204" s="72"/>
      <c r="F204" s="73"/>
      <c r="G204" s="73">
        <f t="shared" si="105"/>
        <v>434531.99999999994</v>
      </c>
      <c r="H204" s="73">
        <f t="shared" si="106"/>
        <v>434532</v>
      </c>
      <c r="I204" s="128">
        <f t="shared" si="100"/>
        <v>1.0000000000000002</v>
      </c>
      <c r="J204" s="75"/>
      <c r="K204" s="77"/>
      <c r="L204" s="77">
        <f t="shared" si="110"/>
        <v>29999.999999999996</v>
      </c>
      <c r="M204" s="77">
        <f t="shared" si="107"/>
        <v>30000</v>
      </c>
      <c r="N204" s="78">
        <f t="shared" si="108"/>
        <v>1.0000000000000002</v>
      </c>
      <c r="O204" s="131"/>
      <c r="P204" s="130"/>
    </row>
    <row r="205" spans="1:16" ht="15.5" x14ac:dyDescent="0.35">
      <c r="A205" s="64">
        <v>2025</v>
      </c>
      <c r="B205" s="64">
        <v>4</v>
      </c>
      <c r="C205" s="65">
        <v>45931</v>
      </c>
      <c r="D205" s="65">
        <v>46022</v>
      </c>
      <c r="E205" s="72"/>
      <c r="F205" s="73"/>
      <c r="G205" s="73">
        <f t="shared" si="105"/>
        <v>434531.99999999994</v>
      </c>
      <c r="H205" s="73">
        <f t="shared" si="106"/>
        <v>434532</v>
      </c>
      <c r="I205" s="128">
        <f t="shared" si="100"/>
        <v>1.0000000000000002</v>
      </c>
      <c r="J205" s="75"/>
      <c r="K205" s="77"/>
      <c r="L205" s="77">
        <f t="shared" si="110"/>
        <v>29999.999999999996</v>
      </c>
      <c r="M205" s="77">
        <f t="shared" si="107"/>
        <v>30000</v>
      </c>
      <c r="N205" s="78">
        <f t="shared" si="108"/>
        <v>1.0000000000000002</v>
      </c>
      <c r="O205" s="131"/>
      <c r="P205" s="130"/>
    </row>
    <row r="206" spans="1:16" ht="15.5" x14ac:dyDescent="0.35">
      <c r="A206" s="64">
        <v>2026</v>
      </c>
      <c r="B206" s="64">
        <v>1</v>
      </c>
      <c r="C206" s="65">
        <v>46023</v>
      </c>
      <c r="D206" s="65">
        <v>46112</v>
      </c>
      <c r="E206" s="72"/>
      <c r="F206" s="73"/>
      <c r="G206" s="73">
        <f t="shared" si="105"/>
        <v>434531.99999999994</v>
      </c>
      <c r="H206" s="73">
        <f t="shared" si="106"/>
        <v>434532</v>
      </c>
      <c r="I206" s="128">
        <f>H206/G206</f>
        <v>1.0000000000000002</v>
      </c>
      <c r="J206" s="75"/>
      <c r="K206" s="77"/>
      <c r="L206" s="77">
        <f t="shared" si="110"/>
        <v>29999.999999999996</v>
      </c>
      <c r="M206" s="77">
        <f t="shared" si="107"/>
        <v>30000</v>
      </c>
      <c r="N206" s="78">
        <f t="shared" si="108"/>
        <v>1.0000000000000002</v>
      </c>
      <c r="O206" s="131"/>
      <c r="P206" s="130"/>
    </row>
    <row r="207" spans="1:16" ht="15.5" x14ac:dyDescent="0.35">
      <c r="A207" s="64">
        <v>2026</v>
      </c>
      <c r="B207" s="64">
        <v>2</v>
      </c>
      <c r="C207" s="65">
        <v>46113</v>
      </c>
      <c r="D207" s="65">
        <v>46203</v>
      </c>
      <c r="E207" s="72"/>
      <c r="F207" s="73"/>
      <c r="G207" s="73">
        <f t="shared" si="105"/>
        <v>434531.99999999994</v>
      </c>
      <c r="H207" s="73">
        <f t="shared" si="106"/>
        <v>434532</v>
      </c>
      <c r="I207" s="128">
        <f t="shared" ref="I207:I208" si="111">H207/G207</f>
        <v>1.0000000000000002</v>
      </c>
      <c r="J207" s="75"/>
      <c r="K207" s="77"/>
      <c r="L207" s="77">
        <f t="shared" si="110"/>
        <v>29999.999999999996</v>
      </c>
      <c r="M207" s="77">
        <f t="shared" si="107"/>
        <v>30000</v>
      </c>
      <c r="N207" s="78">
        <f t="shared" si="108"/>
        <v>1.0000000000000002</v>
      </c>
      <c r="O207" s="131"/>
      <c r="P207" s="130"/>
    </row>
    <row r="208" spans="1:16" ht="15.5" x14ac:dyDescent="0.35">
      <c r="A208" s="64">
        <v>2026</v>
      </c>
      <c r="B208" s="64">
        <v>3</v>
      </c>
      <c r="C208" s="65">
        <v>46204</v>
      </c>
      <c r="D208" s="65">
        <v>46295</v>
      </c>
      <c r="E208" s="72"/>
      <c r="F208" s="73"/>
      <c r="G208" s="73">
        <f t="shared" si="105"/>
        <v>434531.99999999994</v>
      </c>
      <c r="H208" s="73">
        <f>SUM(H207+F208)</f>
        <v>434532</v>
      </c>
      <c r="I208" s="128">
        <f t="shared" si="111"/>
        <v>1.0000000000000002</v>
      </c>
      <c r="J208" s="75"/>
      <c r="K208" s="132"/>
      <c r="L208" s="132">
        <f t="shared" si="110"/>
        <v>29999.999999999996</v>
      </c>
      <c r="M208" s="132">
        <f t="shared" si="107"/>
        <v>30000</v>
      </c>
      <c r="N208" s="78">
        <f t="shared" si="108"/>
        <v>1.0000000000000002</v>
      </c>
      <c r="O208" s="131"/>
      <c r="P208" s="130"/>
    </row>
    <row r="209" spans="1:16" ht="15" thickBot="1" x14ac:dyDescent="0.4">
      <c r="A209" s="133" t="s">
        <v>12</v>
      </c>
      <c r="B209" s="133"/>
      <c r="C209" s="133"/>
      <c r="D209" s="134"/>
      <c r="E209" s="135">
        <v>434532</v>
      </c>
      <c r="F209" s="136">
        <f>SUM(F185:F208)</f>
        <v>434532</v>
      </c>
      <c r="G209" s="136">
        <f>G208</f>
        <v>434531.99999999994</v>
      </c>
      <c r="H209" s="137">
        <f>H208</f>
        <v>434532</v>
      </c>
      <c r="I209" s="144">
        <f>H209/G209</f>
        <v>1.0000000000000002</v>
      </c>
      <c r="J209" s="138">
        <v>30000</v>
      </c>
      <c r="K209" s="139">
        <f>SUM(K185:K208)</f>
        <v>30000</v>
      </c>
      <c r="L209" s="140">
        <f>L208</f>
        <v>29999.999999999996</v>
      </c>
      <c r="M209" s="141">
        <f>M208</f>
        <v>30000</v>
      </c>
      <c r="N209" s="142">
        <f>M209/L209</f>
        <v>1.0000000000000002</v>
      </c>
      <c r="O209" s="143">
        <f>SUM(O185:O208)</f>
        <v>42</v>
      </c>
      <c r="P209" s="143">
        <f>SUM(P185:P208)</f>
        <v>28</v>
      </c>
    </row>
    <row r="210" spans="1:16" ht="15" thickTop="1" x14ac:dyDescent="0.35">
      <c r="E210" s="33">
        <f>E209+J209</f>
        <v>464532</v>
      </c>
    </row>
    <row r="212" spans="1:16" x14ac:dyDescent="0.35">
      <c r="A212" s="216" t="s">
        <v>132</v>
      </c>
      <c r="B212" s="216"/>
      <c r="C212" s="216"/>
      <c r="D212" s="216"/>
      <c r="E212" s="217"/>
      <c r="F212" s="217"/>
      <c r="G212" s="217"/>
      <c r="H212" s="217"/>
      <c r="I212" s="217"/>
      <c r="J212" s="217"/>
      <c r="K212" s="217"/>
      <c r="L212" s="217"/>
      <c r="M212" s="217"/>
      <c r="N212" s="217"/>
      <c r="O212" s="216"/>
      <c r="P212" s="216"/>
    </row>
    <row r="213" spans="1:16" ht="15" thickBot="1" x14ac:dyDescent="0.4">
      <c r="A213" s="202" t="s">
        <v>0</v>
      </c>
      <c r="B213" s="204"/>
      <c r="C213" s="204"/>
      <c r="D213" s="204"/>
      <c r="E213" s="193" t="s">
        <v>99</v>
      </c>
      <c r="F213" s="193"/>
      <c r="G213" s="193"/>
      <c r="H213" s="193"/>
      <c r="I213" s="194"/>
      <c r="J213" s="195" t="s">
        <v>100</v>
      </c>
      <c r="K213" s="196"/>
      <c r="L213" s="196"/>
      <c r="M213" s="196"/>
      <c r="N213" s="197"/>
      <c r="O213" s="12"/>
      <c r="P213" s="6"/>
    </row>
    <row r="214" spans="1:16" ht="58.5" thickTop="1" x14ac:dyDescent="0.35">
      <c r="A214" s="7" t="s">
        <v>1</v>
      </c>
      <c r="B214" s="7" t="s">
        <v>2</v>
      </c>
      <c r="C214" s="7" t="s">
        <v>3</v>
      </c>
      <c r="D214" s="9" t="s">
        <v>9</v>
      </c>
      <c r="E214" s="25" t="s">
        <v>4</v>
      </c>
      <c r="F214" s="20" t="s">
        <v>6</v>
      </c>
      <c r="G214" s="20" t="s">
        <v>5</v>
      </c>
      <c r="H214" s="20" t="s">
        <v>7</v>
      </c>
      <c r="I214" s="23" t="s">
        <v>8</v>
      </c>
      <c r="J214" s="25" t="s">
        <v>4</v>
      </c>
      <c r="K214" s="26" t="s">
        <v>6</v>
      </c>
      <c r="L214" s="26" t="s">
        <v>5</v>
      </c>
      <c r="M214" s="26" t="s">
        <v>7</v>
      </c>
      <c r="N214" s="27" t="s">
        <v>8</v>
      </c>
      <c r="O214" s="13" t="s">
        <v>94</v>
      </c>
      <c r="P214" s="8" t="s">
        <v>95</v>
      </c>
    </row>
    <row r="215" spans="1:16" ht="15.5" x14ac:dyDescent="0.35">
      <c r="A215" s="64">
        <v>2020</v>
      </c>
      <c r="B215" s="64">
        <v>4</v>
      </c>
      <c r="C215" s="65">
        <v>44105</v>
      </c>
      <c r="D215" s="65">
        <v>44196</v>
      </c>
      <c r="E215" s="66"/>
      <c r="F215" s="66"/>
      <c r="G215" s="66"/>
      <c r="H215" s="66"/>
      <c r="I215" s="67"/>
      <c r="J215" s="66"/>
      <c r="K215" s="66"/>
      <c r="L215" s="66"/>
      <c r="M215" s="66"/>
      <c r="N215" s="67"/>
      <c r="O215" s="68"/>
      <c r="P215" s="69"/>
    </row>
    <row r="216" spans="1:16" ht="15.5" x14ac:dyDescent="0.35">
      <c r="A216" s="64">
        <v>2021</v>
      </c>
      <c r="B216" s="64">
        <v>1</v>
      </c>
      <c r="C216" s="65">
        <v>44197</v>
      </c>
      <c r="D216" s="65">
        <v>44286</v>
      </c>
      <c r="E216" s="66"/>
      <c r="F216" s="66"/>
      <c r="G216" s="66"/>
      <c r="H216" s="66"/>
      <c r="I216" s="67"/>
      <c r="J216" s="66"/>
      <c r="K216" s="66"/>
      <c r="L216" s="66"/>
      <c r="M216" s="66"/>
      <c r="N216" s="67"/>
      <c r="O216" s="68"/>
      <c r="P216" s="69"/>
    </row>
    <row r="217" spans="1:16" ht="15.5" x14ac:dyDescent="0.35">
      <c r="A217" s="89">
        <v>2021</v>
      </c>
      <c r="B217" s="89">
        <v>2</v>
      </c>
      <c r="C217" s="90">
        <v>44287</v>
      </c>
      <c r="D217" s="90">
        <v>44377</v>
      </c>
      <c r="E217" s="100">
        <f>$E$239/9</f>
        <v>237219.33333333334</v>
      </c>
      <c r="F217" s="92"/>
      <c r="G217" s="73">
        <f t="shared" ref="G217:G219" si="112">G216+E217</f>
        <v>237219.33333333334</v>
      </c>
      <c r="H217" s="73">
        <f t="shared" ref="H217:H222" si="113">SUM(H216+F217)</f>
        <v>0</v>
      </c>
      <c r="I217" s="74">
        <f t="shared" ref="I217:I235" si="114">H217/G217</f>
        <v>0</v>
      </c>
      <c r="J217" s="102">
        <f>$J$239/9</f>
        <v>3250</v>
      </c>
      <c r="K217" s="103">
        <v>0</v>
      </c>
      <c r="L217" s="76">
        <f>L216+J217</f>
        <v>3250</v>
      </c>
      <c r="M217" s="76">
        <f>SUM(M216+K217)</f>
        <v>0</v>
      </c>
      <c r="N217" s="118">
        <f t="shared" ref="N217:N222" si="115">M217/L217</f>
        <v>0</v>
      </c>
      <c r="O217" s="109">
        <v>10</v>
      </c>
      <c r="P217" s="107">
        <v>0</v>
      </c>
    </row>
    <row r="218" spans="1:16" ht="15.5" x14ac:dyDescent="0.35">
      <c r="A218" s="64">
        <v>2021</v>
      </c>
      <c r="B218" s="64">
        <v>3</v>
      </c>
      <c r="C218" s="65">
        <v>44378</v>
      </c>
      <c r="D218" s="65">
        <v>44469</v>
      </c>
      <c r="E218" s="100">
        <f t="shared" ref="E218:E225" si="116">$E$239/9</f>
        <v>237219.33333333334</v>
      </c>
      <c r="F218" s="73">
        <v>2119519</v>
      </c>
      <c r="G218" s="73">
        <f t="shared" si="112"/>
        <v>474438.66666666669</v>
      </c>
      <c r="H218" s="73">
        <f t="shared" si="113"/>
        <v>2119519</v>
      </c>
      <c r="I218" s="74">
        <f t="shared" si="114"/>
        <v>4.4674246618459987</v>
      </c>
      <c r="J218" s="102">
        <f t="shared" ref="J218:J225" si="117">$J$239/9</f>
        <v>3250</v>
      </c>
      <c r="K218" s="76">
        <v>29250</v>
      </c>
      <c r="L218" s="76">
        <f>L217+J218</f>
        <v>6500</v>
      </c>
      <c r="M218" s="76">
        <f>SUM(M217+K218)</f>
        <v>29250</v>
      </c>
      <c r="N218" s="118">
        <f t="shared" si="115"/>
        <v>4.5</v>
      </c>
      <c r="O218" s="119">
        <v>5</v>
      </c>
      <c r="P218" s="68">
        <v>36</v>
      </c>
    </row>
    <row r="219" spans="1:16" ht="15.5" x14ac:dyDescent="0.35">
      <c r="A219" s="64">
        <v>2022</v>
      </c>
      <c r="B219" s="64">
        <v>4</v>
      </c>
      <c r="C219" s="65">
        <v>44470</v>
      </c>
      <c r="D219" s="65">
        <v>44561</v>
      </c>
      <c r="E219" s="100">
        <f t="shared" si="116"/>
        <v>237219.33333333334</v>
      </c>
      <c r="F219" s="73">
        <v>0</v>
      </c>
      <c r="G219" s="73">
        <f t="shared" si="112"/>
        <v>711658</v>
      </c>
      <c r="H219" s="73">
        <f t="shared" si="113"/>
        <v>2119519</v>
      </c>
      <c r="I219" s="74">
        <f t="shared" si="114"/>
        <v>2.9782831078973326</v>
      </c>
      <c r="J219" s="102">
        <f t="shared" si="117"/>
        <v>3250</v>
      </c>
      <c r="K219" s="76">
        <v>0</v>
      </c>
      <c r="L219" s="76">
        <f t="shared" ref="L219:L222" si="118">L218+J219</f>
        <v>9750</v>
      </c>
      <c r="M219" s="76">
        <f t="shared" ref="M219:M221" si="119">SUM(M218+K219)</f>
        <v>29250</v>
      </c>
      <c r="N219" s="118">
        <f t="shared" si="115"/>
        <v>3</v>
      </c>
      <c r="O219" s="119">
        <v>5</v>
      </c>
      <c r="P219" s="68">
        <v>0</v>
      </c>
    </row>
    <row r="220" spans="1:16" ht="15.5" x14ac:dyDescent="0.35">
      <c r="A220" s="64">
        <v>2022</v>
      </c>
      <c r="B220" s="64">
        <v>1</v>
      </c>
      <c r="C220" s="65">
        <v>44562</v>
      </c>
      <c r="D220" s="65">
        <v>44651</v>
      </c>
      <c r="E220" s="100">
        <f t="shared" si="116"/>
        <v>237219.33333333334</v>
      </c>
      <c r="F220" s="73">
        <v>11916</v>
      </c>
      <c r="G220" s="73">
        <f>G219+E220</f>
        <v>948877.33333333337</v>
      </c>
      <c r="H220" s="73">
        <f t="shared" si="113"/>
        <v>2131435</v>
      </c>
      <c r="I220" s="74">
        <f t="shared" si="114"/>
        <v>2.2462703292873822</v>
      </c>
      <c r="J220" s="102">
        <f t="shared" si="117"/>
        <v>3250</v>
      </c>
      <c r="K220" s="76">
        <v>0</v>
      </c>
      <c r="L220" s="76">
        <f t="shared" si="118"/>
        <v>13000</v>
      </c>
      <c r="M220" s="76">
        <f t="shared" si="119"/>
        <v>29250</v>
      </c>
      <c r="N220" s="118">
        <f t="shared" si="115"/>
        <v>2.25</v>
      </c>
      <c r="O220" s="119">
        <v>5</v>
      </c>
      <c r="P220" s="68">
        <v>1</v>
      </c>
    </row>
    <row r="221" spans="1:16" ht="15.5" x14ac:dyDescent="0.35">
      <c r="A221" s="64">
        <v>2022</v>
      </c>
      <c r="B221" s="64">
        <v>2</v>
      </c>
      <c r="C221" s="65">
        <v>44652</v>
      </c>
      <c r="D221" s="65">
        <v>44742</v>
      </c>
      <c r="E221" s="100">
        <f t="shared" si="116"/>
        <v>237219.33333333334</v>
      </c>
      <c r="F221" s="73">
        <v>3539</v>
      </c>
      <c r="G221" s="73">
        <f t="shared" ref="G221:G222" si="120">G220+E221</f>
        <v>1186096.6666666667</v>
      </c>
      <c r="H221" s="73">
        <f t="shared" si="113"/>
        <v>2134974</v>
      </c>
      <c r="I221" s="74">
        <f t="shared" si="114"/>
        <v>1.7999999999999998</v>
      </c>
      <c r="J221" s="102">
        <f t="shared" si="117"/>
        <v>3250</v>
      </c>
      <c r="K221" s="76">
        <v>0</v>
      </c>
      <c r="L221" s="76">
        <f t="shared" si="118"/>
        <v>16250</v>
      </c>
      <c r="M221" s="76">
        <f t="shared" si="119"/>
        <v>29250</v>
      </c>
      <c r="N221" s="118">
        <f t="shared" si="115"/>
        <v>1.8</v>
      </c>
      <c r="O221" s="119">
        <v>4</v>
      </c>
      <c r="P221" s="68">
        <v>2</v>
      </c>
    </row>
    <row r="222" spans="1:16" ht="15.5" x14ac:dyDescent="0.35">
      <c r="A222" s="64">
        <v>2022</v>
      </c>
      <c r="B222" s="64">
        <v>3</v>
      </c>
      <c r="C222" s="65">
        <v>44743</v>
      </c>
      <c r="D222" s="65">
        <v>44834</v>
      </c>
      <c r="E222" s="100">
        <f t="shared" si="116"/>
        <v>237219.33333333334</v>
      </c>
      <c r="F222" s="73">
        <v>0</v>
      </c>
      <c r="G222" s="73">
        <f t="shared" si="120"/>
        <v>1423316</v>
      </c>
      <c r="H222" s="73">
        <f t="shared" si="113"/>
        <v>2134974</v>
      </c>
      <c r="I222" s="74">
        <f t="shared" si="114"/>
        <v>1.5</v>
      </c>
      <c r="J222" s="102">
        <f t="shared" si="117"/>
        <v>3250</v>
      </c>
      <c r="K222" s="76">
        <v>0</v>
      </c>
      <c r="L222" s="76">
        <f t="shared" si="118"/>
        <v>19500</v>
      </c>
      <c r="M222" s="76">
        <f>SUM(M221+K222)</f>
        <v>29250</v>
      </c>
      <c r="N222" s="118">
        <f t="shared" si="115"/>
        <v>1.5</v>
      </c>
      <c r="O222" s="119">
        <v>4</v>
      </c>
      <c r="P222" s="68">
        <v>0</v>
      </c>
    </row>
    <row r="223" spans="1:16" ht="15.5" x14ac:dyDescent="0.35">
      <c r="A223" s="64">
        <v>2022</v>
      </c>
      <c r="B223" s="64">
        <v>4</v>
      </c>
      <c r="C223" s="65">
        <v>44835</v>
      </c>
      <c r="D223" s="65">
        <v>44926</v>
      </c>
      <c r="E223" s="100">
        <f t="shared" si="116"/>
        <v>237219.33333333334</v>
      </c>
      <c r="F223" s="73">
        <v>0</v>
      </c>
      <c r="G223" s="73">
        <f>G222+E223</f>
        <v>1660535.3333333333</v>
      </c>
      <c r="H223" s="73">
        <f>SUM(H222+F223)</f>
        <v>2134974</v>
      </c>
      <c r="I223" s="74">
        <f t="shared" si="114"/>
        <v>1.2857142857142858</v>
      </c>
      <c r="J223" s="102">
        <f t="shared" si="117"/>
        <v>3250</v>
      </c>
      <c r="K223" s="76">
        <v>0</v>
      </c>
      <c r="L223" s="76">
        <f>L222+J223</f>
        <v>22750</v>
      </c>
      <c r="M223" s="76">
        <f>SUM(M222+K223)</f>
        <v>29250</v>
      </c>
      <c r="N223" s="118">
        <f>M223/L223</f>
        <v>1.2857142857142858</v>
      </c>
      <c r="O223" s="119">
        <v>4</v>
      </c>
      <c r="P223" s="68">
        <v>0</v>
      </c>
    </row>
    <row r="224" spans="1:16" ht="15.5" x14ac:dyDescent="0.35">
      <c r="A224" s="64">
        <v>2023</v>
      </c>
      <c r="B224" s="64">
        <v>1</v>
      </c>
      <c r="C224" s="65">
        <v>44927</v>
      </c>
      <c r="D224" s="65">
        <v>45016</v>
      </c>
      <c r="E224" s="100">
        <f t="shared" si="116"/>
        <v>237219.33333333334</v>
      </c>
      <c r="F224" s="73">
        <v>0</v>
      </c>
      <c r="G224" s="73">
        <f t="shared" ref="G224:G238" si="121">G223+E224</f>
        <v>1897754.6666666665</v>
      </c>
      <c r="H224" s="73">
        <f t="shared" ref="H224:H237" si="122">SUM(H223+F224)</f>
        <v>2134974</v>
      </c>
      <c r="I224" s="74">
        <f t="shared" si="114"/>
        <v>1.125</v>
      </c>
      <c r="J224" s="102">
        <f t="shared" si="117"/>
        <v>3250</v>
      </c>
      <c r="K224" s="76">
        <v>0</v>
      </c>
      <c r="L224" s="76">
        <f>L223+J224</f>
        <v>26000</v>
      </c>
      <c r="M224" s="76">
        <f t="shared" ref="M224:M238" si="123">SUM(M223+K224)</f>
        <v>29250</v>
      </c>
      <c r="N224" s="118">
        <f t="shared" ref="N224:N238" si="124">M224/L224</f>
        <v>1.125</v>
      </c>
      <c r="O224" s="119">
        <v>4</v>
      </c>
      <c r="P224" s="68">
        <v>0</v>
      </c>
    </row>
    <row r="225" spans="1:16" ht="15.5" x14ac:dyDescent="0.35">
      <c r="A225" s="64">
        <v>2023</v>
      </c>
      <c r="B225" s="64">
        <v>2</v>
      </c>
      <c r="C225" s="65">
        <v>45017</v>
      </c>
      <c r="D225" s="65">
        <v>45107</v>
      </c>
      <c r="E225" s="100">
        <f t="shared" si="116"/>
        <v>237219.33333333334</v>
      </c>
      <c r="F225" s="73">
        <v>0</v>
      </c>
      <c r="G225" s="73">
        <f t="shared" si="121"/>
        <v>2134974</v>
      </c>
      <c r="H225" s="73">
        <f t="shared" si="122"/>
        <v>2134974</v>
      </c>
      <c r="I225" s="74">
        <f t="shared" si="114"/>
        <v>1</v>
      </c>
      <c r="J225" s="102">
        <f t="shared" si="117"/>
        <v>3250</v>
      </c>
      <c r="K225" s="76">
        <v>0</v>
      </c>
      <c r="L225" s="76">
        <f t="shared" ref="L225" si="125">L224+J225</f>
        <v>29250</v>
      </c>
      <c r="M225" s="76">
        <f t="shared" si="123"/>
        <v>29250</v>
      </c>
      <c r="N225" s="118">
        <f t="shared" si="124"/>
        <v>1</v>
      </c>
      <c r="O225" s="119">
        <v>0</v>
      </c>
      <c r="P225" s="68">
        <v>0</v>
      </c>
    </row>
    <row r="226" spans="1:16" ht="15.5" x14ac:dyDescent="0.35">
      <c r="A226" s="64">
        <v>2023</v>
      </c>
      <c r="B226" s="64">
        <v>3</v>
      </c>
      <c r="C226" s="65">
        <v>45108</v>
      </c>
      <c r="D226" s="65">
        <v>45199</v>
      </c>
      <c r="E226" s="100"/>
      <c r="F226" s="73"/>
      <c r="G226" s="73">
        <f t="shared" si="121"/>
        <v>2134974</v>
      </c>
      <c r="H226" s="73">
        <f t="shared" si="122"/>
        <v>2134974</v>
      </c>
      <c r="I226" s="74">
        <f t="shared" si="114"/>
        <v>1</v>
      </c>
      <c r="J226" s="102"/>
      <c r="K226" s="76"/>
      <c r="L226" s="76">
        <f>L225+J226</f>
        <v>29250</v>
      </c>
      <c r="M226" s="76">
        <f t="shared" si="123"/>
        <v>29250</v>
      </c>
      <c r="N226" s="118">
        <f t="shared" si="124"/>
        <v>1</v>
      </c>
      <c r="O226" s="119"/>
      <c r="P226" s="68"/>
    </row>
    <row r="227" spans="1:16" ht="15.5" x14ac:dyDescent="0.35">
      <c r="A227" s="64">
        <v>2023</v>
      </c>
      <c r="B227" s="64">
        <v>4</v>
      </c>
      <c r="C227" s="65">
        <v>45200</v>
      </c>
      <c r="D227" s="65">
        <v>45291</v>
      </c>
      <c r="E227" s="72"/>
      <c r="F227" s="73"/>
      <c r="G227" s="73">
        <f t="shared" si="121"/>
        <v>2134974</v>
      </c>
      <c r="H227" s="73">
        <f t="shared" si="122"/>
        <v>2134974</v>
      </c>
      <c r="I227" s="74">
        <f t="shared" si="114"/>
        <v>1</v>
      </c>
      <c r="J227" s="75"/>
      <c r="K227" s="76"/>
      <c r="L227" s="76">
        <f t="shared" ref="L227:L238" si="126">L226+J227</f>
        <v>29250</v>
      </c>
      <c r="M227" s="76">
        <f t="shared" si="123"/>
        <v>29250</v>
      </c>
      <c r="N227" s="118">
        <f t="shared" si="124"/>
        <v>1</v>
      </c>
      <c r="O227" s="119"/>
      <c r="P227" s="68"/>
    </row>
    <row r="228" spans="1:16" ht="15.5" x14ac:dyDescent="0.35">
      <c r="A228" s="64">
        <v>2024</v>
      </c>
      <c r="B228" s="64">
        <v>1</v>
      </c>
      <c r="C228" s="65">
        <v>45292</v>
      </c>
      <c r="D228" s="65">
        <v>45382</v>
      </c>
      <c r="E228" s="72"/>
      <c r="F228" s="73"/>
      <c r="G228" s="73">
        <f t="shared" si="121"/>
        <v>2134974</v>
      </c>
      <c r="H228" s="73">
        <f t="shared" si="122"/>
        <v>2134974</v>
      </c>
      <c r="I228" s="74">
        <f t="shared" si="114"/>
        <v>1</v>
      </c>
      <c r="J228" s="75"/>
      <c r="K228" s="76"/>
      <c r="L228" s="76">
        <f t="shared" si="126"/>
        <v>29250</v>
      </c>
      <c r="M228" s="76">
        <f t="shared" si="123"/>
        <v>29250</v>
      </c>
      <c r="N228" s="118">
        <f t="shared" si="124"/>
        <v>1</v>
      </c>
      <c r="O228" s="119"/>
      <c r="P228" s="68"/>
    </row>
    <row r="229" spans="1:16" ht="15.5" x14ac:dyDescent="0.35">
      <c r="A229" s="64">
        <v>2024</v>
      </c>
      <c r="B229" s="64">
        <v>2</v>
      </c>
      <c r="C229" s="65">
        <v>45383</v>
      </c>
      <c r="D229" s="65">
        <v>45473</v>
      </c>
      <c r="E229" s="72"/>
      <c r="F229" s="73"/>
      <c r="G229" s="73">
        <f t="shared" si="121"/>
        <v>2134974</v>
      </c>
      <c r="H229" s="73">
        <f t="shared" si="122"/>
        <v>2134974</v>
      </c>
      <c r="I229" s="74">
        <f t="shared" si="114"/>
        <v>1</v>
      </c>
      <c r="J229" s="75"/>
      <c r="K229" s="76"/>
      <c r="L229" s="76">
        <f t="shared" si="126"/>
        <v>29250</v>
      </c>
      <c r="M229" s="76">
        <f t="shared" si="123"/>
        <v>29250</v>
      </c>
      <c r="N229" s="118">
        <f t="shared" si="124"/>
        <v>1</v>
      </c>
      <c r="O229" s="119"/>
      <c r="P229" s="68"/>
    </row>
    <row r="230" spans="1:16" ht="15.5" x14ac:dyDescent="0.35">
      <c r="A230" s="64">
        <v>2024</v>
      </c>
      <c r="B230" s="64">
        <v>3</v>
      </c>
      <c r="C230" s="65">
        <v>45474</v>
      </c>
      <c r="D230" s="65">
        <v>45565</v>
      </c>
      <c r="E230" s="72"/>
      <c r="F230" s="73"/>
      <c r="G230" s="73">
        <f t="shared" si="121"/>
        <v>2134974</v>
      </c>
      <c r="H230" s="73">
        <f t="shared" si="122"/>
        <v>2134974</v>
      </c>
      <c r="I230" s="128">
        <f t="shared" si="114"/>
        <v>1</v>
      </c>
      <c r="J230" s="75"/>
      <c r="K230" s="77"/>
      <c r="L230" s="77">
        <f t="shared" si="126"/>
        <v>29250</v>
      </c>
      <c r="M230" s="77">
        <f t="shared" si="123"/>
        <v>29250</v>
      </c>
      <c r="N230" s="78">
        <f t="shared" si="124"/>
        <v>1</v>
      </c>
      <c r="O230" s="129"/>
      <c r="P230" s="130"/>
    </row>
    <row r="231" spans="1:16" ht="15.5" x14ac:dyDescent="0.35">
      <c r="A231" s="64">
        <v>2024</v>
      </c>
      <c r="B231" s="64">
        <v>4</v>
      </c>
      <c r="C231" s="65">
        <v>45566</v>
      </c>
      <c r="D231" s="65">
        <v>45657</v>
      </c>
      <c r="E231" s="72"/>
      <c r="F231" s="73"/>
      <c r="G231" s="73">
        <f t="shared" si="121"/>
        <v>2134974</v>
      </c>
      <c r="H231" s="73">
        <f t="shared" si="122"/>
        <v>2134974</v>
      </c>
      <c r="I231" s="128">
        <f t="shared" si="114"/>
        <v>1</v>
      </c>
      <c r="J231" s="75"/>
      <c r="K231" s="77"/>
      <c r="L231" s="77">
        <f t="shared" si="126"/>
        <v>29250</v>
      </c>
      <c r="M231" s="77">
        <f t="shared" si="123"/>
        <v>29250</v>
      </c>
      <c r="N231" s="78">
        <f t="shared" si="124"/>
        <v>1</v>
      </c>
      <c r="O231" s="131"/>
      <c r="P231" s="130"/>
    </row>
    <row r="232" spans="1:16" ht="15.5" x14ac:dyDescent="0.35">
      <c r="A232" s="64">
        <v>2025</v>
      </c>
      <c r="B232" s="64">
        <v>1</v>
      </c>
      <c r="C232" s="65">
        <v>45658</v>
      </c>
      <c r="D232" s="65">
        <v>45747</v>
      </c>
      <c r="E232" s="72"/>
      <c r="F232" s="73"/>
      <c r="G232" s="73">
        <f t="shared" si="121"/>
        <v>2134974</v>
      </c>
      <c r="H232" s="73">
        <f t="shared" si="122"/>
        <v>2134974</v>
      </c>
      <c r="I232" s="128">
        <f t="shared" si="114"/>
        <v>1</v>
      </c>
      <c r="J232" s="75"/>
      <c r="K232" s="77"/>
      <c r="L232" s="77">
        <f t="shared" si="126"/>
        <v>29250</v>
      </c>
      <c r="M232" s="77">
        <f t="shared" si="123"/>
        <v>29250</v>
      </c>
      <c r="N232" s="78">
        <f t="shared" si="124"/>
        <v>1</v>
      </c>
      <c r="O232" s="131"/>
      <c r="P232" s="130"/>
    </row>
    <row r="233" spans="1:16" ht="15.5" x14ac:dyDescent="0.35">
      <c r="A233" s="64">
        <v>2025</v>
      </c>
      <c r="B233" s="64">
        <v>2</v>
      </c>
      <c r="C233" s="65">
        <v>45748</v>
      </c>
      <c r="D233" s="65">
        <v>45838</v>
      </c>
      <c r="E233" s="72"/>
      <c r="F233" s="73"/>
      <c r="G233" s="73">
        <f t="shared" si="121"/>
        <v>2134974</v>
      </c>
      <c r="H233" s="73">
        <f t="shared" si="122"/>
        <v>2134974</v>
      </c>
      <c r="I233" s="128">
        <f t="shared" si="114"/>
        <v>1</v>
      </c>
      <c r="J233" s="75"/>
      <c r="K233" s="77"/>
      <c r="L233" s="77">
        <f t="shared" si="126"/>
        <v>29250</v>
      </c>
      <c r="M233" s="77">
        <f t="shared" si="123"/>
        <v>29250</v>
      </c>
      <c r="N233" s="78">
        <f t="shared" si="124"/>
        <v>1</v>
      </c>
      <c r="O233" s="131"/>
      <c r="P233" s="130"/>
    </row>
    <row r="234" spans="1:16" ht="15.5" x14ac:dyDescent="0.35">
      <c r="A234" s="64">
        <v>2025</v>
      </c>
      <c r="B234" s="64">
        <v>3</v>
      </c>
      <c r="C234" s="65">
        <v>45839</v>
      </c>
      <c r="D234" s="65">
        <v>45930</v>
      </c>
      <c r="E234" s="72"/>
      <c r="F234" s="73"/>
      <c r="G234" s="73">
        <f t="shared" si="121"/>
        <v>2134974</v>
      </c>
      <c r="H234" s="73">
        <f t="shared" si="122"/>
        <v>2134974</v>
      </c>
      <c r="I234" s="128">
        <f t="shared" si="114"/>
        <v>1</v>
      </c>
      <c r="J234" s="75"/>
      <c r="K234" s="77"/>
      <c r="L234" s="77">
        <f t="shared" si="126"/>
        <v>29250</v>
      </c>
      <c r="M234" s="77">
        <f t="shared" si="123"/>
        <v>29250</v>
      </c>
      <c r="N234" s="78">
        <f t="shared" si="124"/>
        <v>1</v>
      </c>
      <c r="O234" s="131"/>
      <c r="P234" s="130"/>
    </row>
    <row r="235" spans="1:16" ht="15.5" x14ac:dyDescent="0.35">
      <c r="A235" s="64">
        <v>2025</v>
      </c>
      <c r="B235" s="64">
        <v>4</v>
      </c>
      <c r="C235" s="65">
        <v>45931</v>
      </c>
      <c r="D235" s="65">
        <v>46022</v>
      </c>
      <c r="E235" s="72"/>
      <c r="F235" s="73"/>
      <c r="G235" s="73">
        <f t="shared" si="121"/>
        <v>2134974</v>
      </c>
      <c r="H235" s="73">
        <f t="shared" si="122"/>
        <v>2134974</v>
      </c>
      <c r="I235" s="128">
        <f t="shared" si="114"/>
        <v>1</v>
      </c>
      <c r="J235" s="75"/>
      <c r="K235" s="77"/>
      <c r="L235" s="77">
        <f t="shared" si="126"/>
        <v>29250</v>
      </c>
      <c r="M235" s="77">
        <f t="shared" si="123"/>
        <v>29250</v>
      </c>
      <c r="N235" s="78">
        <f t="shared" si="124"/>
        <v>1</v>
      </c>
      <c r="O235" s="131"/>
      <c r="P235" s="130"/>
    </row>
    <row r="236" spans="1:16" ht="15.5" x14ac:dyDescent="0.35">
      <c r="A236" s="64">
        <v>2026</v>
      </c>
      <c r="B236" s="64">
        <v>1</v>
      </c>
      <c r="C236" s="65">
        <v>46023</v>
      </c>
      <c r="D236" s="65">
        <v>46112</v>
      </c>
      <c r="E236" s="72"/>
      <c r="F236" s="73"/>
      <c r="G236" s="73">
        <f t="shared" si="121"/>
        <v>2134974</v>
      </c>
      <c r="H236" s="73">
        <f t="shared" si="122"/>
        <v>2134974</v>
      </c>
      <c r="I236" s="128">
        <f>H236/G236</f>
        <v>1</v>
      </c>
      <c r="J236" s="75"/>
      <c r="K236" s="77"/>
      <c r="L236" s="77">
        <f t="shared" si="126"/>
        <v>29250</v>
      </c>
      <c r="M236" s="77">
        <f t="shared" si="123"/>
        <v>29250</v>
      </c>
      <c r="N236" s="78">
        <f t="shared" si="124"/>
        <v>1</v>
      </c>
      <c r="O236" s="131"/>
      <c r="P236" s="130"/>
    </row>
    <row r="237" spans="1:16" ht="15.5" x14ac:dyDescent="0.35">
      <c r="A237" s="64">
        <v>2026</v>
      </c>
      <c r="B237" s="64">
        <v>2</v>
      </c>
      <c r="C237" s="65">
        <v>46113</v>
      </c>
      <c r="D237" s="65">
        <v>46203</v>
      </c>
      <c r="E237" s="72"/>
      <c r="F237" s="73"/>
      <c r="G237" s="73">
        <f t="shared" si="121"/>
        <v>2134974</v>
      </c>
      <c r="H237" s="73">
        <f t="shared" si="122"/>
        <v>2134974</v>
      </c>
      <c r="I237" s="128">
        <f t="shared" ref="I237:I238" si="127">H237/G237</f>
        <v>1</v>
      </c>
      <c r="J237" s="75"/>
      <c r="K237" s="77"/>
      <c r="L237" s="77">
        <f t="shared" si="126"/>
        <v>29250</v>
      </c>
      <c r="M237" s="77">
        <f t="shared" si="123"/>
        <v>29250</v>
      </c>
      <c r="N237" s="78">
        <f t="shared" si="124"/>
        <v>1</v>
      </c>
      <c r="O237" s="131"/>
      <c r="P237" s="130"/>
    </row>
    <row r="238" spans="1:16" ht="15.5" x14ac:dyDescent="0.35">
      <c r="A238" s="64">
        <v>2026</v>
      </c>
      <c r="B238" s="64">
        <v>3</v>
      </c>
      <c r="C238" s="65">
        <v>46204</v>
      </c>
      <c r="D238" s="65">
        <v>46295</v>
      </c>
      <c r="E238" s="72"/>
      <c r="F238" s="73"/>
      <c r="G238" s="73">
        <f t="shared" si="121"/>
        <v>2134974</v>
      </c>
      <c r="H238" s="73">
        <f>SUM(H237+F238)</f>
        <v>2134974</v>
      </c>
      <c r="I238" s="128">
        <f t="shared" si="127"/>
        <v>1</v>
      </c>
      <c r="J238" s="75"/>
      <c r="K238" s="132"/>
      <c r="L238" s="132">
        <f t="shared" si="126"/>
        <v>29250</v>
      </c>
      <c r="M238" s="132">
        <f t="shared" si="123"/>
        <v>29250</v>
      </c>
      <c r="N238" s="78">
        <f t="shared" si="124"/>
        <v>1</v>
      </c>
      <c r="O238" s="131"/>
      <c r="P238" s="130"/>
    </row>
    <row r="239" spans="1:16" x14ac:dyDescent="0.35">
      <c r="A239" s="164" t="s">
        <v>12</v>
      </c>
      <c r="B239" s="164"/>
      <c r="C239" s="164"/>
      <c r="D239" s="165"/>
      <c r="E239" s="166">
        <v>2134974</v>
      </c>
      <c r="F239" s="167">
        <f>SUM(F215:F238)</f>
        <v>2134974</v>
      </c>
      <c r="G239" s="167">
        <f>G238</f>
        <v>2134974</v>
      </c>
      <c r="H239" s="168">
        <f>H238</f>
        <v>2134974</v>
      </c>
      <c r="I239" s="169">
        <f>H239/G239</f>
        <v>1</v>
      </c>
      <c r="J239" s="170">
        <v>29250</v>
      </c>
      <c r="K239" s="171">
        <f>SUM(K215:K238)</f>
        <v>29250</v>
      </c>
      <c r="L239" s="172">
        <f>L238</f>
        <v>29250</v>
      </c>
      <c r="M239" s="173">
        <f>M238</f>
        <v>29250</v>
      </c>
      <c r="N239" s="174">
        <f>M239/L239</f>
        <v>1</v>
      </c>
      <c r="O239" s="175">
        <f>SUM(O215:O238)</f>
        <v>41</v>
      </c>
      <c r="P239" s="175">
        <f>SUM(P215:P238)</f>
        <v>39</v>
      </c>
    </row>
    <row r="240" spans="1:16" x14ac:dyDescent="0.35">
      <c r="A240" s="186"/>
      <c r="B240" s="186"/>
      <c r="C240" s="186"/>
      <c r="D240" s="186"/>
      <c r="E240" s="187">
        <f>E239+J239</f>
        <v>2164224</v>
      </c>
      <c r="F240" s="176"/>
      <c r="G240" s="176"/>
      <c r="H240" s="177"/>
      <c r="I240" s="178"/>
      <c r="J240" s="179"/>
      <c r="K240" s="180"/>
      <c r="L240" s="176"/>
      <c r="M240" s="177"/>
      <c r="N240" s="181"/>
      <c r="O240" s="186"/>
      <c r="P240" s="186"/>
    </row>
    <row r="241" spans="1:16" x14ac:dyDescent="0.35">
      <c r="A241" s="163"/>
      <c r="B241" s="163"/>
      <c r="C241" s="163"/>
      <c r="D241" s="163"/>
      <c r="E241" s="156"/>
      <c r="F241" s="156"/>
      <c r="G241" s="156"/>
      <c r="H241" s="182"/>
      <c r="I241" s="183"/>
      <c r="J241" s="184"/>
      <c r="K241" s="157"/>
      <c r="L241" s="156"/>
      <c r="M241" s="182"/>
      <c r="N241" s="185"/>
      <c r="O241" s="163"/>
      <c r="P241" s="163"/>
    </row>
    <row r="242" spans="1:16" x14ac:dyDescent="0.35">
      <c r="A242" s="216" t="s">
        <v>103</v>
      </c>
      <c r="B242" s="216"/>
      <c r="C242" s="216"/>
      <c r="D242" s="216"/>
      <c r="E242" s="217"/>
      <c r="F242" s="217"/>
      <c r="G242" s="217"/>
      <c r="H242" s="217"/>
      <c r="I242" s="217"/>
      <c r="J242" s="217"/>
      <c r="K242" s="217"/>
      <c r="L242" s="217"/>
      <c r="M242" s="217"/>
      <c r="N242" s="217"/>
      <c r="O242" s="216"/>
      <c r="P242" s="216"/>
    </row>
    <row r="243" spans="1:16" ht="15" thickBot="1" x14ac:dyDescent="0.4">
      <c r="A243" s="202" t="s">
        <v>0</v>
      </c>
      <c r="B243" s="204"/>
      <c r="C243" s="204"/>
      <c r="D243" s="204"/>
      <c r="E243" s="193" t="s">
        <v>99</v>
      </c>
      <c r="F243" s="193"/>
      <c r="G243" s="193"/>
      <c r="H243" s="193"/>
      <c r="I243" s="194"/>
      <c r="J243" s="195" t="s">
        <v>100</v>
      </c>
      <c r="K243" s="196"/>
      <c r="L243" s="196"/>
      <c r="M243" s="196"/>
      <c r="N243" s="197"/>
      <c r="O243" s="12"/>
      <c r="P243" s="6"/>
    </row>
    <row r="244" spans="1:16" ht="58.5" thickTop="1" x14ac:dyDescent="0.35">
      <c r="A244" s="7" t="s">
        <v>1</v>
      </c>
      <c r="B244" s="7" t="s">
        <v>2</v>
      </c>
      <c r="C244" s="7" t="s">
        <v>3</v>
      </c>
      <c r="D244" s="9" t="s">
        <v>9</v>
      </c>
      <c r="E244" s="25" t="s">
        <v>4</v>
      </c>
      <c r="F244" s="20" t="s">
        <v>6</v>
      </c>
      <c r="G244" s="20" t="s">
        <v>5</v>
      </c>
      <c r="H244" s="20" t="s">
        <v>7</v>
      </c>
      <c r="I244" s="23" t="s">
        <v>8</v>
      </c>
      <c r="J244" s="25" t="s">
        <v>4</v>
      </c>
      <c r="K244" s="26" t="s">
        <v>6</v>
      </c>
      <c r="L244" s="26" t="s">
        <v>5</v>
      </c>
      <c r="M244" s="26" t="s">
        <v>7</v>
      </c>
      <c r="N244" s="27" t="s">
        <v>8</v>
      </c>
      <c r="O244" s="13" t="s">
        <v>94</v>
      </c>
      <c r="P244" s="8" t="s">
        <v>95</v>
      </c>
    </row>
    <row r="245" spans="1:16" ht="15.5" x14ac:dyDescent="0.35">
      <c r="A245" s="64">
        <v>2020</v>
      </c>
      <c r="B245" s="64">
        <v>4</v>
      </c>
      <c r="C245" s="65">
        <v>44105</v>
      </c>
      <c r="D245" s="65">
        <v>44196</v>
      </c>
      <c r="E245" s="66"/>
      <c r="F245" s="66"/>
      <c r="G245" s="66"/>
      <c r="H245" s="66"/>
      <c r="I245" s="67"/>
      <c r="J245" s="66"/>
      <c r="K245" s="66"/>
      <c r="L245" s="66"/>
      <c r="M245" s="66"/>
      <c r="N245" s="67"/>
      <c r="O245" s="68"/>
      <c r="P245" s="69"/>
    </row>
    <row r="246" spans="1:16" ht="15.5" x14ac:dyDescent="0.35">
      <c r="A246" s="64">
        <v>2021</v>
      </c>
      <c r="B246" s="64">
        <v>1</v>
      </c>
      <c r="C246" s="65">
        <v>44197</v>
      </c>
      <c r="D246" s="65">
        <v>44286</v>
      </c>
      <c r="E246" s="66"/>
      <c r="F246" s="66"/>
      <c r="G246" s="66"/>
      <c r="H246" s="66"/>
      <c r="I246" s="67"/>
      <c r="J246" s="66"/>
      <c r="K246" s="66"/>
      <c r="L246" s="66"/>
      <c r="M246" s="66"/>
      <c r="N246" s="67"/>
      <c r="O246" s="68"/>
      <c r="P246" s="69"/>
    </row>
    <row r="247" spans="1:16" ht="15.5" x14ac:dyDescent="0.35">
      <c r="A247" s="89">
        <v>2021</v>
      </c>
      <c r="B247" s="89">
        <v>2</v>
      </c>
      <c r="C247" s="90">
        <v>44287</v>
      </c>
      <c r="D247" s="90">
        <v>44377</v>
      </c>
      <c r="E247" s="100"/>
      <c r="F247" s="92"/>
      <c r="G247" s="92"/>
      <c r="H247" s="92"/>
      <c r="I247" s="101"/>
      <c r="J247" s="102"/>
      <c r="K247" s="103"/>
      <c r="L247" s="104"/>
      <c r="M247" s="103"/>
      <c r="N247" s="105"/>
      <c r="O247" s="109"/>
      <c r="P247" s="107"/>
    </row>
    <row r="248" spans="1:16" ht="15.5" x14ac:dyDescent="0.35">
      <c r="A248" s="64">
        <v>2021</v>
      </c>
      <c r="B248" s="64">
        <v>3</v>
      </c>
      <c r="C248" s="65">
        <v>44378</v>
      </c>
      <c r="D248" s="65">
        <v>44469</v>
      </c>
      <c r="E248" s="100">
        <f>$E$269/8</f>
        <v>11090</v>
      </c>
      <c r="F248" s="73">
        <v>0</v>
      </c>
      <c r="G248" s="73">
        <f t="shared" ref="G248:G249" si="128">G247+E248</f>
        <v>11090</v>
      </c>
      <c r="H248" s="73">
        <f t="shared" ref="H248:H252" si="129">SUM(H247+F248)</f>
        <v>0</v>
      </c>
      <c r="I248" s="74">
        <v>0</v>
      </c>
      <c r="J248" s="102">
        <f>$J$269/8</f>
        <v>375</v>
      </c>
      <c r="K248" s="76">
        <v>0</v>
      </c>
      <c r="L248" s="76">
        <f>L247+J248</f>
        <v>375</v>
      </c>
      <c r="M248" s="76">
        <f>SUM(M247+K248)</f>
        <v>0</v>
      </c>
      <c r="N248" s="118">
        <v>0</v>
      </c>
      <c r="O248" s="119">
        <v>1</v>
      </c>
      <c r="P248" s="68">
        <v>1</v>
      </c>
    </row>
    <row r="249" spans="1:16" ht="15.5" x14ac:dyDescent="0.35">
      <c r="A249" s="64">
        <v>2022</v>
      </c>
      <c r="B249" s="64">
        <v>4</v>
      </c>
      <c r="C249" s="65">
        <v>44470</v>
      </c>
      <c r="D249" s="65">
        <v>44561</v>
      </c>
      <c r="E249" s="100">
        <f t="shared" ref="E249:E255" si="130">$E$269/8</f>
        <v>11090</v>
      </c>
      <c r="F249" s="73">
        <v>0</v>
      </c>
      <c r="G249" s="73">
        <f t="shared" si="128"/>
        <v>22180</v>
      </c>
      <c r="H249" s="73">
        <f t="shared" si="129"/>
        <v>0</v>
      </c>
      <c r="I249" s="74">
        <f t="shared" ref="I249:I265" si="131">H249/G249</f>
        <v>0</v>
      </c>
      <c r="J249" s="102">
        <f t="shared" ref="J249:J255" si="132">$J$269/8</f>
        <v>375</v>
      </c>
      <c r="K249" s="76">
        <v>0</v>
      </c>
      <c r="L249" s="76">
        <f t="shared" ref="L249:L252" si="133">L248+J249</f>
        <v>750</v>
      </c>
      <c r="M249" s="76">
        <f t="shared" ref="M249:M251" si="134">SUM(M248+K249)</f>
        <v>0</v>
      </c>
      <c r="N249" s="118">
        <f t="shared" ref="N249:N252" si="135">M249/L249</f>
        <v>0</v>
      </c>
      <c r="O249" s="119">
        <v>0</v>
      </c>
      <c r="P249" s="68">
        <v>0</v>
      </c>
    </row>
    <row r="250" spans="1:16" ht="15.5" x14ac:dyDescent="0.35">
      <c r="A250" s="64">
        <v>2022</v>
      </c>
      <c r="B250" s="64">
        <v>1</v>
      </c>
      <c r="C250" s="65">
        <v>44562</v>
      </c>
      <c r="D250" s="65">
        <v>44651</v>
      </c>
      <c r="E250" s="100">
        <f t="shared" si="130"/>
        <v>11090</v>
      </c>
      <c r="F250" s="73">
        <v>26541</v>
      </c>
      <c r="G250" s="73">
        <f>G249+E250</f>
        <v>33270</v>
      </c>
      <c r="H250" s="73">
        <f t="shared" si="129"/>
        <v>26541</v>
      </c>
      <c r="I250" s="74">
        <f t="shared" si="131"/>
        <v>0.79774571686203788</v>
      </c>
      <c r="J250" s="102">
        <f t="shared" si="132"/>
        <v>375</v>
      </c>
      <c r="K250" s="76">
        <v>0</v>
      </c>
      <c r="L250" s="76">
        <f t="shared" si="133"/>
        <v>1125</v>
      </c>
      <c r="M250" s="76">
        <f t="shared" si="134"/>
        <v>0</v>
      </c>
      <c r="N250" s="118">
        <f t="shared" si="135"/>
        <v>0</v>
      </c>
      <c r="O250" s="119">
        <v>1</v>
      </c>
      <c r="P250" s="68">
        <v>1</v>
      </c>
    </row>
    <row r="251" spans="1:16" ht="15.5" x14ac:dyDescent="0.35">
      <c r="A251" s="64">
        <v>2022</v>
      </c>
      <c r="B251" s="64">
        <v>2</v>
      </c>
      <c r="C251" s="65">
        <v>44652</v>
      </c>
      <c r="D251" s="65">
        <v>44742</v>
      </c>
      <c r="E251" s="100">
        <f t="shared" si="130"/>
        <v>11090</v>
      </c>
      <c r="F251" s="73">
        <v>62179</v>
      </c>
      <c r="G251" s="73">
        <f t="shared" ref="G251:G252" si="136">G250+E251</f>
        <v>44360</v>
      </c>
      <c r="H251" s="73">
        <f t="shared" si="129"/>
        <v>88720</v>
      </c>
      <c r="I251" s="74">
        <f t="shared" si="131"/>
        <v>2</v>
      </c>
      <c r="J251" s="102">
        <f t="shared" si="132"/>
        <v>375</v>
      </c>
      <c r="K251" s="76">
        <v>0</v>
      </c>
      <c r="L251" s="76">
        <f t="shared" si="133"/>
        <v>1500</v>
      </c>
      <c r="M251" s="76">
        <f t="shared" si="134"/>
        <v>0</v>
      </c>
      <c r="N251" s="118">
        <f t="shared" si="135"/>
        <v>0</v>
      </c>
      <c r="O251" s="119">
        <v>0</v>
      </c>
      <c r="P251" s="68">
        <v>0</v>
      </c>
    </row>
    <row r="252" spans="1:16" ht="15.5" x14ac:dyDescent="0.35">
      <c r="A252" s="64">
        <v>2022</v>
      </c>
      <c r="B252" s="64">
        <v>3</v>
      </c>
      <c r="C252" s="65">
        <v>44743</v>
      </c>
      <c r="D252" s="65">
        <v>44834</v>
      </c>
      <c r="E252" s="100">
        <f t="shared" si="130"/>
        <v>11090</v>
      </c>
      <c r="F252" s="73">
        <v>0</v>
      </c>
      <c r="G252" s="73">
        <f t="shared" si="136"/>
        <v>55450</v>
      </c>
      <c r="H252" s="73">
        <f t="shared" si="129"/>
        <v>88720</v>
      </c>
      <c r="I252" s="74">
        <f t="shared" si="131"/>
        <v>1.6</v>
      </c>
      <c r="J252" s="102">
        <f t="shared" si="132"/>
        <v>375</v>
      </c>
      <c r="K252" s="76">
        <v>0</v>
      </c>
      <c r="L252" s="76">
        <f t="shared" si="133"/>
        <v>1875</v>
      </c>
      <c r="M252" s="76">
        <f>SUM(M251+K252)</f>
        <v>0</v>
      </c>
      <c r="N252" s="118">
        <f t="shared" si="135"/>
        <v>0</v>
      </c>
      <c r="O252" s="119">
        <v>0</v>
      </c>
      <c r="P252" s="68">
        <v>0</v>
      </c>
    </row>
    <row r="253" spans="1:16" ht="15.5" x14ac:dyDescent="0.35">
      <c r="A253" s="64">
        <v>2022</v>
      </c>
      <c r="B253" s="64">
        <v>4</v>
      </c>
      <c r="C253" s="65">
        <v>44835</v>
      </c>
      <c r="D253" s="65">
        <v>44926</v>
      </c>
      <c r="E253" s="100">
        <f t="shared" si="130"/>
        <v>11090</v>
      </c>
      <c r="F253" s="73">
        <v>0</v>
      </c>
      <c r="G253" s="73">
        <f>G252+E253</f>
        <v>66540</v>
      </c>
      <c r="H253" s="73">
        <f>SUM(H252+F253)</f>
        <v>88720</v>
      </c>
      <c r="I253" s="74">
        <f t="shared" si="131"/>
        <v>1.3333333333333333</v>
      </c>
      <c r="J253" s="102">
        <f t="shared" si="132"/>
        <v>375</v>
      </c>
      <c r="K253" s="76">
        <v>0</v>
      </c>
      <c r="L253" s="76">
        <f>L252+J253</f>
        <v>2250</v>
      </c>
      <c r="M253" s="76">
        <f>SUM(M252+K253)</f>
        <v>0</v>
      </c>
      <c r="N253" s="118">
        <f>M253/L253</f>
        <v>0</v>
      </c>
      <c r="O253" s="119">
        <v>1</v>
      </c>
      <c r="P253" s="68">
        <v>1</v>
      </c>
    </row>
    <row r="254" spans="1:16" ht="15.5" x14ac:dyDescent="0.35">
      <c r="A254" s="64">
        <v>2023</v>
      </c>
      <c r="B254" s="64">
        <v>1</v>
      </c>
      <c r="C254" s="65">
        <v>44927</v>
      </c>
      <c r="D254" s="65">
        <v>45016</v>
      </c>
      <c r="E254" s="100">
        <f t="shared" si="130"/>
        <v>11090</v>
      </c>
      <c r="F254" s="73">
        <v>0</v>
      </c>
      <c r="G254" s="73">
        <f t="shared" ref="G254:G268" si="137">G253+E254</f>
        <v>77630</v>
      </c>
      <c r="H254" s="73">
        <f t="shared" ref="H254:H267" si="138">SUM(H253+F254)</f>
        <v>88720</v>
      </c>
      <c r="I254" s="74">
        <f t="shared" si="131"/>
        <v>1.1428571428571428</v>
      </c>
      <c r="J254" s="102">
        <f t="shared" si="132"/>
        <v>375</v>
      </c>
      <c r="K254" s="76">
        <v>3000</v>
      </c>
      <c r="L254" s="76">
        <f>L253+J254</f>
        <v>2625</v>
      </c>
      <c r="M254" s="76">
        <f t="shared" ref="M254:M268" si="139">SUM(M253+K254)</f>
        <v>3000</v>
      </c>
      <c r="N254" s="118">
        <f t="shared" ref="N254:N268" si="140">M254/L254</f>
        <v>1.1428571428571428</v>
      </c>
      <c r="O254" s="119">
        <v>0</v>
      </c>
      <c r="P254" s="68">
        <v>0</v>
      </c>
    </row>
    <row r="255" spans="1:16" ht="15.5" x14ac:dyDescent="0.35">
      <c r="A255" s="64">
        <v>2023</v>
      </c>
      <c r="B255" s="64">
        <v>2</v>
      </c>
      <c r="C255" s="65">
        <v>45017</v>
      </c>
      <c r="D255" s="65">
        <v>45107</v>
      </c>
      <c r="E255" s="100">
        <f t="shared" si="130"/>
        <v>11090</v>
      </c>
      <c r="F255" s="73">
        <v>0</v>
      </c>
      <c r="G255" s="73">
        <f t="shared" si="137"/>
        <v>88720</v>
      </c>
      <c r="H255" s="73">
        <f t="shared" si="138"/>
        <v>88720</v>
      </c>
      <c r="I255" s="74">
        <f t="shared" si="131"/>
        <v>1</v>
      </c>
      <c r="J255" s="102">
        <f t="shared" si="132"/>
        <v>375</v>
      </c>
      <c r="K255" s="76">
        <v>0</v>
      </c>
      <c r="L255" s="76">
        <f t="shared" ref="L255" si="141">L254+J255</f>
        <v>3000</v>
      </c>
      <c r="M255" s="76">
        <f t="shared" si="139"/>
        <v>3000</v>
      </c>
      <c r="N255" s="118">
        <f t="shared" si="140"/>
        <v>1</v>
      </c>
      <c r="O255" s="119">
        <v>1</v>
      </c>
      <c r="P255" s="68">
        <v>1</v>
      </c>
    </row>
    <row r="256" spans="1:16" ht="15.5" x14ac:dyDescent="0.35">
      <c r="A256" s="64">
        <v>2023</v>
      </c>
      <c r="B256" s="64">
        <v>3</v>
      </c>
      <c r="C256" s="65">
        <v>45108</v>
      </c>
      <c r="D256" s="65">
        <v>45199</v>
      </c>
      <c r="E256" s="100"/>
      <c r="F256" s="73"/>
      <c r="G256" s="73">
        <f t="shared" si="137"/>
        <v>88720</v>
      </c>
      <c r="H256" s="73">
        <f t="shared" si="138"/>
        <v>88720</v>
      </c>
      <c r="I256" s="74">
        <f t="shared" si="131"/>
        <v>1</v>
      </c>
      <c r="J256" s="102"/>
      <c r="K256" s="76"/>
      <c r="L256" s="76">
        <f>L255+J256</f>
        <v>3000</v>
      </c>
      <c r="M256" s="76">
        <f t="shared" si="139"/>
        <v>3000</v>
      </c>
      <c r="N256" s="118">
        <f t="shared" si="140"/>
        <v>1</v>
      </c>
      <c r="O256" s="119"/>
      <c r="P256" s="68"/>
    </row>
    <row r="257" spans="1:16" ht="15.5" x14ac:dyDescent="0.35">
      <c r="A257" s="64">
        <v>2023</v>
      </c>
      <c r="B257" s="64">
        <v>4</v>
      </c>
      <c r="C257" s="65">
        <v>45200</v>
      </c>
      <c r="D257" s="65">
        <v>45291</v>
      </c>
      <c r="E257" s="72"/>
      <c r="F257" s="73"/>
      <c r="G257" s="73">
        <f t="shared" si="137"/>
        <v>88720</v>
      </c>
      <c r="H257" s="73">
        <f t="shared" si="138"/>
        <v>88720</v>
      </c>
      <c r="I257" s="74">
        <f t="shared" si="131"/>
        <v>1</v>
      </c>
      <c r="J257" s="75"/>
      <c r="K257" s="76"/>
      <c r="L257" s="76">
        <f t="shared" ref="L257:L268" si="142">L256+J257</f>
        <v>3000</v>
      </c>
      <c r="M257" s="76">
        <f t="shared" si="139"/>
        <v>3000</v>
      </c>
      <c r="N257" s="118">
        <f t="shared" si="140"/>
        <v>1</v>
      </c>
      <c r="O257" s="119"/>
      <c r="P257" s="68"/>
    </row>
    <row r="258" spans="1:16" ht="15.5" x14ac:dyDescent="0.35">
      <c r="A258" s="64">
        <v>2024</v>
      </c>
      <c r="B258" s="64">
        <v>1</v>
      </c>
      <c r="C258" s="65">
        <v>45292</v>
      </c>
      <c r="D258" s="65">
        <v>45382</v>
      </c>
      <c r="E258" s="72"/>
      <c r="F258" s="73"/>
      <c r="G258" s="73">
        <f t="shared" si="137"/>
        <v>88720</v>
      </c>
      <c r="H258" s="73">
        <f t="shared" si="138"/>
        <v>88720</v>
      </c>
      <c r="I258" s="74">
        <f t="shared" si="131"/>
        <v>1</v>
      </c>
      <c r="J258" s="75"/>
      <c r="K258" s="76"/>
      <c r="L258" s="76">
        <f t="shared" si="142"/>
        <v>3000</v>
      </c>
      <c r="M258" s="76">
        <f t="shared" si="139"/>
        <v>3000</v>
      </c>
      <c r="N258" s="118">
        <f t="shared" si="140"/>
        <v>1</v>
      </c>
      <c r="O258" s="119"/>
      <c r="P258" s="68"/>
    </row>
    <row r="259" spans="1:16" ht="15.5" x14ac:dyDescent="0.35">
      <c r="A259" s="64">
        <v>2024</v>
      </c>
      <c r="B259" s="64">
        <v>2</v>
      </c>
      <c r="C259" s="65">
        <v>45383</v>
      </c>
      <c r="D259" s="65">
        <v>45473</v>
      </c>
      <c r="E259" s="72"/>
      <c r="F259" s="73"/>
      <c r="G259" s="73">
        <f t="shared" si="137"/>
        <v>88720</v>
      </c>
      <c r="H259" s="73">
        <f t="shared" si="138"/>
        <v>88720</v>
      </c>
      <c r="I259" s="74">
        <f t="shared" si="131"/>
        <v>1</v>
      </c>
      <c r="J259" s="75"/>
      <c r="K259" s="76"/>
      <c r="L259" s="76">
        <f t="shared" si="142"/>
        <v>3000</v>
      </c>
      <c r="M259" s="76">
        <f t="shared" si="139"/>
        <v>3000</v>
      </c>
      <c r="N259" s="118">
        <f t="shared" si="140"/>
        <v>1</v>
      </c>
      <c r="O259" s="119"/>
      <c r="P259" s="68"/>
    </row>
    <row r="260" spans="1:16" ht="15.5" x14ac:dyDescent="0.35">
      <c r="A260" s="64">
        <v>2024</v>
      </c>
      <c r="B260" s="64">
        <v>3</v>
      </c>
      <c r="C260" s="65">
        <v>45474</v>
      </c>
      <c r="D260" s="65">
        <v>45565</v>
      </c>
      <c r="E260" s="72"/>
      <c r="F260" s="73"/>
      <c r="G260" s="73">
        <f t="shared" si="137"/>
        <v>88720</v>
      </c>
      <c r="H260" s="73">
        <f t="shared" si="138"/>
        <v>88720</v>
      </c>
      <c r="I260" s="128">
        <f t="shared" si="131"/>
        <v>1</v>
      </c>
      <c r="J260" s="75"/>
      <c r="K260" s="77"/>
      <c r="L260" s="77">
        <f t="shared" si="142"/>
        <v>3000</v>
      </c>
      <c r="M260" s="77">
        <f t="shared" si="139"/>
        <v>3000</v>
      </c>
      <c r="N260" s="78">
        <f t="shared" si="140"/>
        <v>1</v>
      </c>
      <c r="O260" s="129"/>
      <c r="P260" s="130"/>
    </row>
    <row r="261" spans="1:16" ht="15.5" x14ac:dyDescent="0.35">
      <c r="A261" s="64">
        <v>2024</v>
      </c>
      <c r="B261" s="64">
        <v>4</v>
      </c>
      <c r="C261" s="65">
        <v>45566</v>
      </c>
      <c r="D261" s="65">
        <v>45657</v>
      </c>
      <c r="E261" s="72"/>
      <c r="F261" s="73"/>
      <c r="G261" s="73">
        <f t="shared" si="137"/>
        <v>88720</v>
      </c>
      <c r="H261" s="73">
        <f t="shared" si="138"/>
        <v>88720</v>
      </c>
      <c r="I261" s="128">
        <f t="shared" si="131"/>
        <v>1</v>
      </c>
      <c r="J261" s="75"/>
      <c r="K261" s="77"/>
      <c r="L261" s="77">
        <f t="shared" si="142"/>
        <v>3000</v>
      </c>
      <c r="M261" s="77">
        <f t="shared" si="139"/>
        <v>3000</v>
      </c>
      <c r="N261" s="78">
        <f t="shared" si="140"/>
        <v>1</v>
      </c>
      <c r="O261" s="131"/>
      <c r="P261" s="130"/>
    </row>
    <row r="262" spans="1:16" ht="15.5" x14ac:dyDescent="0.35">
      <c r="A262" s="64">
        <v>2025</v>
      </c>
      <c r="B262" s="64">
        <v>1</v>
      </c>
      <c r="C262" s="65">
        <v>45658</v>
      </c>
      <c r="D262" s="65">
        <v>45747</v>
      </c>
      <c r="E262" s="72"/>
      <c r="F262" s="73"/>
      <c r="G262" s="73">
        <f t="shared" si="137"/>
        <v>88720</v>
      </c>
      <c r="H262" s="73">
        <f t="shared" si="138"/>
        <v>88720</v>
      </c>
      <c r="I262" s="128">
        <f t="shared" si="131"/>
        <v>1</v>
      </c>
      <c r="J262" s="75"/>
      <c r="K262" s="77"/>
      <c r="L262" s="77">
        <f t="shared" si="142"/>
        <v>3000</v>
      </c>
      <c r="M262" s="77">
        <f t="shared" si="139"/>
        <v>3000</v>
      </c>
      <c r="N262" s="78">
        <f t="shared" si="140"/>
        <v>1</v>
      </c>
      <c r="O262" s="131"/>
      <c r="P262" s="130"/>
    </row>
    <row r="263" spans="1:16" ht="15.5" x14ac:dyDescent="0.35">
      <c r="A263" s="64">
        <v>2025</v>
      </c>
      <c r="B263" s="64">
        <v>2</v>
      </c>
      <c r="C263" s="65">
        <v>45748</v>
      </c>
      <c r="D263" s="65">
        <v>45838</v>
      </c>
      <c r="E263" s="72"/>
      <c r="F263" s="73"/>
      <c r="G263" s="73">
        <f t="shared" si="137"/>
        <v>88720</v>
      </c>
      <c r="H263" s="73">
        <f t="shared" si="138"/>
        <v>88720</v>
      </c>
      <c r="I263" s="128">
        <f t="shared" si="131"/>
        <v>1</v>
      </c>
      <c r="J263" s="75"/>
      <c r="K263" s="77"/>
      <c r="L263" s="77">
        <f t="shared" si="142"/>
        <v>3000</v>
      </c>
      <c r="M263" s="77">
        <f t="shared" si="139"/>
        <v>3000</v>
      </c>
      <c r="N263" s="78">
        <f t="shared" si="140"/>
        <v>1</v>
      </c>
      <c r="O263" s="131"/>
      <c r="P263" s="130"/>
    </row>
    <row r="264" spans="1:16" ht="15.5" x14ac:dyDescent="0.35">
      <c r="A264" s="64">
        <v>2025</v>
      </c>
      <c r="B264" s="64">
        <v>3</v>
      </c>
      <c r="C264" s="65">
        <v>45839</v>
      </c>
      <c r="D264" s="65">
        <v>45930</v>
      </c>
      <c r="E264" s="72"/>
      <c r="F264" s="73"/>
      <c r="G264" s="73">
        <f t="shared" si="137"/>
        <v>88720</v>
      </c>
      <c r="H264" s="73">
        <f t="shared" si="138"/>
        <v>88720</v>
      </c>
      <c r="I264" s="128">
        <f t="shared" si="131"/>
        <v>1</v>
      </c>
      <c r="J264" s="75"/>
      <c r="K264" s="77"/>
      <c r="L264" s="77">
        <f t="shared" si="142"/>
        <v>3000</v>
      </c>
      <c r="M264" s="77">
        <f t="shared" si="139"/>
        <v>3000</v>
      </c>
      <c r="N264" s="78">
        <f t="shared" si="140"/>
        <v>1</v>
      </c>
      <c r="O264" s="131"/>
      <c r="P264" s="130"/>
    </row>
    <row r="265" spans="1:16" ht="15.5" x14ac:dyDescent="0.35">
      <c r="A265" s="64">
        <v>2025</v>
      </c>
      <c r="B265" s="64">
        <v>4</v>
      </c>
      <c r="C265" s="65">
        <v>45931</v>
      </c>
      <c r="D265" s="65">
        <v>46022</v>
      </c>
      <c r="E265" s="72"/>
      <c r="F265" s="73"/>
      <c r="G265" s="73">
        <f t="shared" si="137"/>
        <v>88720</v>
      </c>
      <c r="H265" s="73">
        <f t="shared" si="138"/>
        <v>88720</v>
      </c>
      <c r="I265" s="128">
        <f t="shared" si="131"/>
        <v>1</v>
      </c>
      <c r="J265" s="75"/>
      <c r="K265" s="77"/>
      <c r="L265" s="77">
        <f t="shared" si="142"/>
        <v>3000</v>
      </c>
      <c r="M265" s="77">
        <f t="shared" si="139"/>
        <v>3000</v>
      </c>
      <c r="N265" s="78">
        <f t="shared" si="140"/>
        <v>1</v>
      </c>
      <c r="O265" s="131"/>
      <c r="P265" s="130"/>
    </row>
    <row r="266" spans="1:16" ht="15.5" x14ac:dyDescent="0.35">
      <c r="A266" s="64">
        <v>2026</v>
      </c>
      <c r="B266" s="64">
        <v>1</v>
      </c>
      <c r="C266" s="65">
        <v>46023</v>
      </c>
      <c r="D266" s="65">
        <v>46112</v>
      </c>
      <c r="E266" s="72"/>
      <c r="F266" s="73"/>
      <c r="G266" s="73">
        <f t="shared" si="137"/>
        <v>88720</v>
      </c>
      <c r="H266" s="73">
        <f t="shared" si="138"/>
        <v>88720</v>
      </c>
      <c r="I266" s="128">
        <f>H266/G266</f>
        <v>1</v>
      </c>
      <c r="J266" s="75"/>
      <c r="K266" s="77"/>
      <c r="L266" s="77">
        <f t="shared" si="142"/>
        <v>3000</v>
      </c>
      <c r="M266" s="77">
        <f t="shared" si="139"/>
        <v>3000</v>
      </c>
      <c r="N266" s="78">
        <f t="shared" si="140"/>
        <v>1</v>
      </c>
      <c r="O266" s="131"/>
      <c r="P266" s="130"/>
    </row>
    <row r="267" spans="1:16" ht="15.5" x14ac:dyDescent="0.35">
      <c r="A267" s="64">
        <v>2026</v>
      </c>
      <c r="B267" s="64">
        <v>2</v>
      </c>
      <c r="C267" s="65">
        <v>46113</v>
      </c>
      <c r="D267" s="65">
        <v>46203</v>
      </c>
      <c r="E267" s="72"/>
      <c r="F267" s="73"/>
      <c r="G267" s="73">
        <f t="shared" si="137"/>
        <v>88720</v>
      </c>
      <c r="H267" s="73">
        <f t="shared" si="138"/>
        <v>88720</v>
      </c>
      <c r="I267" s="128">
        <f t="shared" ref="I267:I268" si="143">H267/G267</f>
        <v>1</v>
      </c>
      <c r="J267" s="75"/>
      <c r="K267" s="77"/>
      <c r="L267" s="77">
        <f t="shared" si="142"/>
        <v>3000</v>
      </c>
      <c r="M267" s="77">
        <f t="shared" si="139"/>
        <v>3000</v>
      </c>
      <c r="N267" s="78">
        <f t="shared" si="140"/>
        <v>1</v>
      </c>
      <c r="O267" s="131"/>
      <c r="P267" s="130"/>
    </row>
    <row r="268" spans="1:16" ht="15.5" x14ac:dyDescent="0.35">
      <c r="A268" s="64">
        <v>2026</v>
      </c>
      <c r="B268" s="64">
        <v>3</v>
      </c>
      <c r="C268" s="65">
        <v>46204</v>
      </c>
      <c r="D268" s="65">
        <v>46295</v>
      </c>
      <c r="E268" s="72"/>
      <c r="F268" s="73"/>
      <c r="G268" s="73">
        <f t="shared" si="137"/>
        <v>88720</v>
      </c>
      <c r="H268" s="73">
        <f>SUM(H267+F268)</f>
        <v>88720</v>
      </c>
      <c r="I268" s="128">
        <f t="shared" si="143"/>
        <v>1</v>
      </c>
      <c r="J268" s="75"/>
      <c r="K268" s="132"/>
      <c r="L268" s="132">
        <f t="shared" si="142"/>
        <v>3000</v>
      </c>
      <c r="M268" s="132">
        <f t="shared" si="139"/>
        <v>3000</v>
      </c>
      <c r="N268" s="78">
        <f t="shared" si="140"/>
        <v>1</v>
      </c>
      <c r="O268" s="131"/>
      <c r="P268" s="130"/>
    </row>
    <row r="269" spans="1:16" ht="15" thickBot="1" x14ac:dyDescent="0.4">
      <c r="A269" s="133" t="s">
        <v>12</v>
      </c>
      <c r="B269" s="133"/>
      <c r="C269" s="133"/>
      <c r="D269" s="134"/>
      <c r="E269" s="135">
        <v>88720</v>
      </c>
      <c r="F269" s="136">
        <f>SUM(F245:F268)</f>
        <v>88720</v>
      </c>
      <c r="G269" s="136">
        <f>G268</f>
        <v>88720</v>
      </c>
      <c r="H269" s="137">
        <f>H268</f>
        <v>88720</v>
      </c>
      <c r="I269" s="144">
        <f>H269/G269</f>
        <v>1</v>
      </c>
      <c r="J269" s="138">
        <v>3000</v>
      </c>
      <c r="K269" s="139">
        <f>SUM(K245:K268)</f>
        <v>3000</v>
      </c>
      <c r="L269" s="140">
        <f>L268</f>
        <v>3000</v>
      </c>
      <c r="M269" s="141">
        <f>M268</f>
        <v>3000</v>
      </c>
      <c r="N269" s="142">
        <f>M269/L269</f>
        <v>1</v>
      </c>
      <c r="O269" s="143">
        <f>SUM(O245:O268)</f>
        <v>4</v>
      </c>
      <c r="P269" s="143">
        <f>SUM(P245:P268)</f>
        <v>4</v>
      </c>
    </row>
    <row r="270" spans="1:16" ht="15" thickTop="1" x14ac:dyDescent="0.35">
      <c r="E270" s="33">
        <f>E269+J269</f>
        <v>91720</v>
      </c>
    </row>
    <row r="272" spans="1:16" x14ac:dyDescent="0.35">
      <c r="A272" s="216" t="s">
        <v>104</v>
      </c>
      <c r="B272" s="216"/>
      <c r="C272" s="216"/>
      <c r="D272" s="216"/>
      <c r="E272" s="217"/>
      <c r="F272" s="217"/>
      <c r="G272" s="217"/>
      <c r="H272" s="217"/>
      <c r="I272" s="217"/>
      <c r="J272" s="217"/>
      <c r="K272" s="217"/>
      <c r="L272" s="217"/>
      <c r="M272" s="217"/>
      <c r="N272" s="217"/>
      <c r="O272" s="216"/>
      <c r="P272" s="216"/>
    </row>
    <row r="273" spans="1:16" ht="15" thickBot="1" x14ac:dyDescent="0.4">
      <c r="A273" s="202" t="s">
        <v>0</v>
      </c>
      <c r="B273" s="204"/>
      <c r="C273" s="204"/>
      <c r="D273" s="204"/>
      <c r="E273" s="193" t="s">
        <v>99</v>
      </c>
      <c r="F273" s="193"/>
      <c r="G273" s="193"/>
      <c r="H273" s="193"/>
      <c r="I273" s="194"/>
      <c r="J273" s="195" t="s">
        <v>100</v>
      </c>
      <c r="K273" s="196"/>
      <c r="L273" s="196"/>
      <c r="M273" s="196"/>
      <c r="N273" s="197"/>
      <c r="O273" s="12"/>
      <c r="P273" s="6"/>
    </row>
    <row r="274" spans="1:16" ht="58.5" thickTop="1" x14ac:dyDescent="0.35">
      <c r="A274" s="7" t="s">
        <v>1</v>
      </c>
      <c r="B274" s="7" t="s">
        <v>2</v>
      </c>
      <c r="C274" s="7" t="s">
        <v>3</v>
      </c>
      <c r="D274" s="9" t="s">
        <v>9</v>
      </c>
      <c r="E274" s="25" t="s">
        <v>4</v>
      </c>
      <c r="F274" s="20" t="s">
        <v>6</v>
      </c>
      <c r="G274" s="20" t="s">
        <v>5</v>
      </c>
      <c r="H274" s="20" t="s">
        <v>7</v>
      </c>
      <c r="I274" s="23" t="s">
        <v>8</v>
      </c>
      <c r="J274" s="25" t="s">
        <v>4</v>
      </c>
      <c r="K274" s="26" t="s">
        <v>6</v>
      </c>
      <c r="L274" s="26" t="s">
        <v>5</v>
      </c>
      <c r="M274" s="26" t="s">
        <v>7</v>
      </c>
      <c r="N274" s="27" t="s">
        <v>8</v>
      </c>
      <c r="O274" s="13" t="s">
        <v>94</v>
      </c>
      <c r="P274" s="8" t="s">
        <v>95</v>
      </c>
    </row>
    <row r="275" spans="1:16" ht="15.5" x14ac:dyDescent="0.35">
      <c r="A275" s="64">
        <v>2020</v>
      </c>
      <c r="B275" s="64">
        <v>4</v>
      </c>
      <c r="C275" s="65">
        <v>44105</v>
      </c>
      <c r="D275" s="65">
        <v>44196</v>
      </c>
      <c r="E275" s="66"/>
      <c r="F275" s="66"/>
      <c r="G275" s="66"/>
      <c r="H275" s="66"/>
      <c r="I275" s="67"/>
      <c r="J275" s="66"/>
      <c r="K275" s="66"/>
      <c r="L275" s="66"/>
      <c r="M275" s="66"/>
      <c r="N275" s="67"/>
      <c r="O275" s="68"/>
      <c r="P275" s="69"/>
    </row>
    <row r="276" spans="1:16" ht="15.5" x14ac:dyDescent="0.35">
      <c r="A276" s="64">
        <v>2021</v>
      </c>
      <c r="B276" s="64">
        <v>1</v>
      </c>
      <c r="C276" s="65">
        <v>44197</v>
      </c>
      <c r="D276" s="65">
        <v>44286</v>
      </c>
      <c r="E276" s="66"/>
      <c r="F276" s="66"/>
      <c r="G276" s="66"/>
      <c r="H276" s="66"/>
      <c r="I276" s="67"/>
      <c r="J276" s="66"/>
      <c r="K276" s="66"/>
      <c r="L276" s="66"/>
      <c r="M276" s="66"/>
      <c r="N276" s="67"/>
      <c r="O276" s="68"/>
      <c r="P276" s="69"/>
    </row>
    <row r="277" spans="1:16" ht="15.5" x14ac:dyDescent="0.35">
      <c r="A277" s="89">
        <v>2021</v>
      </c>
      <c r="B277" s="89">
        <v>2</v>
      </c>
      <c r="C277" s="90">
        <v>44287</v>
      </c>
      <c r="D277" s="90">
        <v>44377</v>
      </c>
      <c r="E277" s="100"/>
      <c r="F277" s="92"/>
      <c r="G277" s="92"/>
      <c r="H277" s="92"/>
      <c r="I277" s="101"/>
      <c r="J277" s="102"/>
      <c r="K277" s="103"/>
      <c r="L277" s="104"/>
      <c r="M277" s="103"/>
      <c r="N277" s="105"/>
      <c r="O277" s="109"/>
      <c r="P277" s="107"/>
    </row>
    <row r="278" spans="1:16" ht="15.5" x14ac:dyDescent="0.35">
      <c r="A278" s="64">
        <v>2021</v>
      </c>
      <c r="B278" s="64">
        <v>3</v>
      </c>
      <c r="C278" s="65">
        <v>44378</v>
      </c>
      <c r="D278" s="65">
        <v>44469</v>
      </c>
      <c r="E278" s="100"/>
      <c r="F278" s="73"/>
      <c r="G278" s="73"/>
      <c r="H278" s="73"/>
      <c r="I278" s="74"/>
      <c r="J278" s="102"/>
      <c r="K278" s="76"/>
      <c r="L278" s="76"/>
      <c r="M278" s="76"/>
      <c r="N278" s="118"/>
      <c r="O278" s="119">
        <v>2</v>
      </c>
      <c r="P278" s="68">
        <v>0</v>
      </c>
    </row>
    <row r="279" spans="1:16" ht="15.5" x14ac:dyDescent="0.35">
      <c r="A279" s="64">
        <v>2022</v>
      </c>
      <c r="B279" s="64">
        <v>4</v>
      </c>
      <c r="C279" s="65">
        <v>44470</v>
      </c>
      <c r="D279" s="65">
        <v>44561</v>
      </c>
      <c r="E279" s="100">
        <f>$E$299/9</f>
        <v>77475.652222222227</v>
      </c>
      <c r="F279" s="73">
        <v>0</v>
      </c>
      <c r="G279" s="73">
        <f t="shared" ref="G279" si="144">G278+E279</f>
        <v>77475.652222222227</v>
      </c>
      <c r="H279" s="73">
        <f t="shared" ref="H279:H282" si="145">SUM(H278+F279)</f>
        <v>0</v>
      </c>
      <c r="I279" s="74">
        <f t="shared" ref="I279:I295" si="146">H279/G279</f>
        <v>0</v>
      </c>
      <c r="J279" s="102">
        <f>$J$299/9</f>
        <v>916.66666666666663</v>
      </c>
      <c r="K279" s="76">
        <v>0</v>
      </c>
      <c r="L279" s="76">
        <f t="shared" ref="L279:L282" si="147">L278+J279</f>
        <v>916.66666666666663</v>
      </c>
      <c r="M279" s="76">
        <f t="shared" ref="M279:M281" si="148">SUM(M278+K279)</f>
        <v>0</v>
      </c>
      <c r="N279" s="118">
        <f t="shared" ref="N279:N282" si="149">M279/L279</f>
        <v>0</v>
      </c>
      <c r="O279" s="119">
        <v>2</v>
      </c>
      <c r="P279" s="68">
        <v>8</v>
      </c>
    </row>
    <row r="280" spans="1:16" ht="15.5" x14ac:dyDescent="0.35">
      <c r="A280" s="64">
        <v>2022</v>
      </c>
      <c r="B280" s="64">
        <v>1</v>
      </c>
      <c r="C280" s="65">
        <v>44562</v>
      </c>
      <c r="D280" s="65">
        <v>44651</v>
      </c>
      <c r="E280" s="100">
        <f t="shared" ref="E280:E287" si="150">$E$299/9</f>
        <v>77475.652222222227</v>
      </c>
      <c r="F280" s="73">
        <v>0</v>
      </c>
      <c r="G280" s="73">
        <f>G279+E280</f>
        <v>154951.30444444445</v>
      </c>
      <c r="H280" s="73">
        <f t="shared" si="145"/>
        <v>0</v>
      </c>
      <c r="I280" s="74">
        <f t="shared" si="146"/>
        <v>0</v>
      </c>
      <c r="J280" s="102">
        <f t="shared" ref="J280:J287" si="151">$J$299/9</f>
        <v>916.66666666666663</v>
      </c>
      <c r="K280" s="76">
        <v>0</v>
      </c>
      <c r="L280" s="76">
        <f t="shared" si="147"/>
        <v>1833.3333333333333</v>
      </c>
      <c r="M280" s="76">
        <f t="shared" si="148"/>
        <v>0</v>
      </c>
      <c r="N280" s="118">
        <f t="shared" si="149"/>
        <v>0</v>
      </c>
      <c r="O280" s="119">
        <v>2</v>
      </c>
      <c r="P280" s="68">
        <v>0</v>
      </c>
    </row>
    <row r="281" spans="1:16" ht="15.5" x14ac:dyDescent="0.35">
      <c r="A281" s="64">
        <v>2022</v>
      </c>
      <c r="B281" s="64">
        <v>2</v>
      </c>
      <c r="C281" s="65">
        <v>44652</v>
      </c>
      <c r="D281" s="65">
        <v>44742</v>
      </c>
      <c r="E281" s="100">
        <f t="shared" si="150"/>
        <v>77475.652222222227</v>
      </c>
      <c r="F281" s="73">
        <v>354140</v>
      </c>
      <c r="G281" s="73">
        <f t="shared" ref="G281:G282" si="152">G280+E281</f>
        <v>232426.95666666667</v>
      </c>
      <c r="H281" s="73">
        <f t="shared" si="145"/>
        <v>354140</v>
      </c>
      <c r="I281" s="74">
        <f t="shared" si="146"/>
        <v>1.5236614766155854</v>
      </c>
      <c r="J281" s="102">
        <f t="shared" si="151"/>
        <v>916.66666666666663</v>
      </c>
      <c r="K281" s="76">
        <v>0</v>
      </c>
      <c r="L281" s="76">
        <f t="shared" si="147"/>
        <v>2750</v>
      </c>
      <c r="M281" s="76">
        <f t="shared" si="148"/>
        <v>0</v>
      </c>
      <c r="N281" s="118">
        <f t="shared" si="149"/>
        <v>0</v>
      </c>
      <c r="O281" s="119">
        <v>2</v>
      </c>
      <c r="P281" s="68">
        <v>0</v>
      </c>
    </row>
    <row r="282" spans="1:16" ht="15.5" x14ac:dyDescent="0.35">
      <c r="A282" s="64">
        <v>2022</v>
      </c>
      <c r="B282" s="64">
        <v>3</v>
      </c>
      <c r="C282" s="65">
        <v>44743</v>
      </c>
      <c r="D282" s="65">
        <v>44834</v>
      </c>
      <c r="E282" s="100">
        <f t="shared" si="150"/>
        <v>77475.652222222227</v>
      </c>
      <c r="F282" s="73">
        <v>139788</v>
      </c>
      <c r="G282" s="73">
        <f t="shared" si="152"/>
        <v>309902.60888888891</v>
      </c>
      <c r="H282" s="73">
        <f t="shared" si="145"/>
        <v>493928</v>
      </c>
      <c r="I282" s="74">
        <f t="shared" si="146"/>
        <v>1.5938168503030923</v>
      </c>
      <c r="J282" s="102">
        <f t="shared" si="151"/>
        <v>916.66666666666663</v>
      </c>
      <c r="K282" s="76">
        <v>6000</v>
      </c>
      <c r="L282" s="76">
        <f t="shared" si="147"/>
        <v>3666.6666666666665</v>
      </c>
      <c r="M282" s="76">
        <f>SUM(M281+K282)</f>
        <v>6000</v>
      </c>
      <c r="N282" s="118">
        <f t="shared" si="149"/>
        <v>1.6363636363636365</v>
      </c>
      <c r="O282" s="119">
        <v>2</v>
      </c>
      <c r="P282" s="68">
        <v>0</v>
      </c>
    </row>
    <row r="283" spans="1:16" ht="15.5" x14ac:dyDescent="0.35">
      <c r="A283" s="64">
        <v>2022</v>
      </c>
      <c r="B283" s="64">
        <v>4</v>
      </c>
      <c r="C283" s="65">
        <v>44835</v>
      </c>
      <c r="D283" s="65">
        <v>44926</v>
      </c>
      <c r="E283" s="100">
        <f t="shared" si="150"/>
        <v>77475.652222222227</v>
      </c>
      <c r="F283" s="73">
        <v>0</v>
      </c>
      <c r="G283" s="73">
        <f>G282+E283</f>
        <v>387378.26111111115</v>
      </c>
      <c r="H283" s="73">
        <f>SUM(H282+F283)</f>
        <v>493928</v>
      </c>
      <c r="I283" s="74">
        <f t="shared" si="146"/>
        <v>1.2750534802424738</v>
      </c>
      <c r="J283" s="102">
        <f t="shared" si="151"/>
        <v>916.66666666666663</v>
      </c>
      <c r="K283" s="76">
        <v>0</v>
      </c>
      <c r="L283" s="76">
        <f>L282+J283</f>
        <v>4583.333333333333</v>
      </c>
      <c r="M283" s="76">
        <f>SUM(M282+K283)</f>
        <v>6000</v>
      </c>
      <c r="N283" s="118">
        <f>M283/L283</f>
        <v>1.3090909090909091</v>
      </c>
      <c r="O283" s="119">
        <v>1</v>
      </c>
      <c r="P283" s="68">
        <v>0</v>
      </c>
    </row>
    <row r="284" spans="1:16" ht="15.5" x14ac:dyDescent="0.35">
      <c r="A284" s="64">
        <v>2023</v>
      </c>
      <c r="B284" s="64">
        <v>1</v>
      </c>
      <c r="C284" s="65">
        <v>44927</v>
      </c>
      <c r="D284" s="65">
        <v>45016</v>
      </c>
      <c r="E284" s="100">
        <f t="shared" si="150"/>
        <v>77475.652222222227</v>
      </c>
      <c r="F284" s="73">
        <v>0</v>
      </c>
      <c r="G284" s="73">
        <f t="shared" ref="G284:G298" si="153">G283+E284</f>
        <v>464853.91333333339</v>
      </c>
      <c r="H284" s="73">
        <f t="shared" ref="H284:H297" si="154">SUM(H283+F284)</f>
        <v>493928</v>
      </c>
      <c r="I284" s="74">
        <f t="shared" si="146"/>
        <v>1.0625445668687281</v>
      </c>
      <c r="J284" s="102">
        <f t="shared" si="151"/>
        <v>916.66666666666663</v>
      </c>
      <c r="K284" s="76">
        <v>0</v>
      </c>
      <c r="L284" s="76">
        <f>L283+J284</f>
        <v>5500</v>
      </c>
      <c r="M284" s="76">
        <f t="shared" ref="M284:M298" si="155">SUM(M283+K284)</f>
        <v>6000</v>
      </c>
      <c r="N284" s="118">
        <f t="shared" ref="N284:N298" si="156">M284/L284</f>
        <v>1.0909090909090908</v>
      </c>
      <c r="O284" s="119">
        <v>1</v>
      </c>
      <c r="P284" s="68">
        <v>1</v>
      </c>
    </row>
    <row r="285" spans="1:16" ht="15.5" x14ac:dyDescent="0.35">
      <c r="A285" s="64">
        <v>2023</v>
      </c>
      <c r="B285" s="64">
        <v>2</v>
      </c>
      <c r="C285" s="65">
        <v>45017</v>
      </c>
      <c r="D285" s="65">
        <v>45107</v>
      </c>
      <c r="E285" s="100">
        <f t="shared" si="150"/>
        <v>77475.652222222227</v>
      </c>
      <c r="F285" s="73">
        <v>56430</v>
      </c>
      <c r="G285" s="73">
        <f t="shared" si="153"/>
        <v>542329.56555555563</v>
      </c>
      <c r="H285" s="73">
        <f t="shared" si="154"/>
        <v>550358</v>
      </c>
      <c r="I285" s="74">
        <f t="shared" si="146"/>
        <v>1.0148036082750165</v>
      </c>
      <c r="J285" s="102">
        <f t="shared" si="151"/>
        <v>916.66666666666663</v>
      </c>
      <c r="K285" s="76">
        <v>0</v>
      </c>
      <c r="L285" s="76">
        <f t="shared" ref="L285" si="157">L284+J285</f>
        <v>6416.666666666667</v>
      </c>
      <c r="M285" s="76">
        <f t="shared" si="155"/>
        <v>6000</v>
      </c>
      <c r="N285" s="118">
        <f t="shared" si="156"/>
        <v>0.93506493506493504</v>
      </c>
      <c r="O285" s="119">
        <v>1</v>
      </c>
      <c r="P285" s="68">
        <v>2</v>
      </c>
    </row>
    <row r="286" spans="1:16" ht="15.5" x14ac:dyDescent="0.35">
      <c r="A286" s="64">
        <v>2023</v>
      </c>
      <c r="B286" s="64">
        <v>3</v>
      </c>
      <c r="C286" s="65">
        <v>45108</v>
      </c>
      <c r="D286" s="65">
        <v>45199</v>
      </c>
      <c r="E286" s="100">
        <f t="shared" si="150"/>
        <v>77475.652222222227</v>
      </c>
      <c r="F286" s="73">
        <v>0</v>
      </c>
      <c r="G286" s="73">
        <f t="shared" si="153"/>
        <v>619805.21777777781</v>
      </c>
      <c r="H286" s="73">
        <f t="shared" si="154"/>
        <v>550358</v>
      </c>
      <c r="I286" s="74">
        <f t="shared" si="146"/>
        <v>0.88795315724063961</v>
      </c>
      <c r="J286" s="102">
        <f t="shared" si="151"/>
        <v>916.66666666666663</v>
      </c>
      <c r="K286" s="76">
        <v>0</v>
      </c>
      <c r="L286" s="76">
        <f>L285+J286</f>
        <v>7333.3333333333339</v>
      </c>
      <c r="M286" s="76">
        <f t="shared" si="155"/>
        <v>6000</v>
      </c>
      <c r="N286" s="118">
        <f t="shared" si="156"/>
        <v>0.81818181818181812</v>
      </c>
      <c r="O286" s="119">
        <v>1</v>
      </c>
      <c r="P286" s="68">
        <v>0</v>
      </c>
    </row>
    <row r="287" spans="1:16" ht="15.5" x14ac:dyDescent="0.35">
      <c r="A287" s="64">
        <v>2023</v>
      </c>
      <c r="B287" s="64">
        <v>4</v>
      </c>
      <c r="C287" s="65">
        <v>45200</v>
      </c>
      <c r="D287" s="65">
        <v>45291</v>
      </c>
      <c r="E287" s="72">
        <f t="shared" si="150"/>
        <v>77475.652222222227</v>
      </c>
      <c r="F287" s="73">
        <v>146922.87</v>
      </c>
      <c r="G287" s="73">
        <f t="shared" si="153"/>
        <v>697280.87</v>
      </c>
      <c r="H287" s="73">
        <f t="shared" si="154"/>
        <v>697280.87</v>
      </c>
      <c r="I287" s="74">
        <f t="shared" si="146"/>
        <v>1</v>
      </c>
      <c r="J287" s="75">
        <f t="shared" si="151"/>
        <v>916.66666666666663</v>
      </c>
      <c r="K287" s="76">
        <v>2250</v>
      </c>
      <c r="L287" s="76">
        <f t="shared" ref="L287:L298" si="158">L286+J287</f>
        <v>8250</v>
      </c>
      <c r="M287" s="76">
        <f t="shared" si="155"/>
        <v>8250</v>
      </c>
      <c r="N287" s="118">
        <f t="shared" si="156"/>
        <v>1</v>
      </c>
      <c r="O287" s="119">
        <v>0</v>
      </c>
      <c r="P287" s="68">
        <v>0</v>
      </c>
    </row>
    <row r="288" spans="1:16" ht="15.5" x14ac:dyDescent="0.35">
      <c r="A288" s="64">
        <v>2024</v>
      </c>
      <c r="B288" s="64">
        <v>1</v>
      </c>
      <c r="C288" s="65">
        <v>45292</v>
      </c>
      <c r="D288" s="65">
        <v>45382</v>
      </c>
      <c r="E288" s="72"/>
      <c r="F288" s="73"/>
      <c r="G288" s="73">
        <f t="shared" si="153"/>
        <v>697280.87</v>
      </c>
      <c r="H288" s="73">
        <f t="shared" si="154"/>
        <v>697280.87</v>
      </c>
      <c r="I288" s="74">
        <f t="shared" si="146"/>
        <v>1</v>
      </c>
      <c r="J288" s="75"/>
      <c r="K288" s="76"/>
      <c r="L288" s="76">
        <f t="shared" si="158"/>
        <v>8250</v>
      </c>
      <c r="M288" s="76">
        <f t="shared" si="155"/>
        <v>8250</v>
      </c>
      <c r="N288" s="118">
        <f t="shared" si="156"/>
        <v>1</v>
      </c>
      <c r="O288" s="119"/>
      <c r="P288" s="68"/>
    </row>
    <row r="289" spans="1:16" ht="15.5" x14ac:dyDescent="0.35">
      <c r="A289" s="64">
        <v>2024</v>
      </c>
      <c r="B289" s="64">
        <v>2</v>
      </c>
      <c r="C289" s="65">
        <v>45383</v>
      </c>
      <c r="D289" s="65">
        <v>45473</v>
      </c>
      <c r="E289" s="72"/>
      <c r="F289" s="73"/>
      <c r="G289" s="73">
        <f t="shared" si="153"/>
        <v>697280.87</v>
      </c>
      <c r="H289" s="73">
        <f t="shared" si="154"/>
        <v>697280.87</v>
      </c>
      <c r="I289" s="74">
        <f t="shared" si="146"/>
        <v>1</v>
      </c>
      <c r="J289" s="75"/>
      <c r="K289" s="76"/>
      <c r="L289" s="76">
        <f t="shared" si="158"/>
        <v>8250</v>
      </c>
      <c r="M289" s="76">
        <f t="shared" si="155"/>
        <v>8250</v>
      </c>
      <c r="N289" s="118">
        <f t="shared" si="156"/>
        <v>1</v>
      </c>
      <c r="O289" s="119"/>
      <c r="P289" s="68"/>
    </row>
    <row r="290" spans="1:16" ht="15.5" x14ac:dyDescent="0.35">
      <c r="A290" s="64">
        <v>2024</v>
      </c>
      <c r="B290" s="64">
        <v>3</v>
      </c>
      <c r="C290" s="65">
        <v>45474</v>
      </c>
      <c r="D290" s="65">
        <v>45565</v>
      </c>
      <c r="E290" s="72"/>
      <c r="F290" s="73"/>
      <c r="G290" s="73">
        <f t="shared" si="153"/>
        <v>697280.87</v>
      </c>
      <c r="H290" s="73">
        <f t="shared" si="154"/>
        <v>697280.87</v>
      </c>
      <c r="I290" s="128">
        <f t="shared" si="146"/>
        <v>1</v>
      </c>
      <c r="J290" s="75"/>
      <c r="K290" s="77"/>
      <c r="L290" s="77">
        <f t="shared" si="158"/>
        <v>8250</v>
      </c>
      <c r="M290" s="77">
        <f t="shared" si="155"/>
        <v>8250</v>
      </c>
      <c r="N290" s="78">
        <f t="shared" si="156"/>
        <v>1</v>
      </c>
      <c r="O290" s="129"/>
      <c r="P290" s="130"/>
    </row>
    <row r="291" spans="1:16" ht="15.5" x14ac:dyDescent="0.35">
      <c r="A291" s="64">
        <v>2024</v>
      </c>
      <c r="B291" s="64">
        <v>4</v>
      </c>
      <c r="C291" s="65">
        <v>45566</v>
      </c>
      <c r="D291" s="65">
        <v>45657</v>
      </c>
      <c r="E291" s="72"/>
      <c r="F291" s="73"/>
      <c r="G291" s="73">
        <f t="shared" si="153"/>
        <v>697280.87</v>
      </c>
      <c r="H291" s="73">
        <f t="shared" si="154"/>
        <v>697280.87</v>
      </c>
      <c r="I291" s="128">
        <f t="shared" si="146"/>
        <v>1</v>
      </c>
      <c r="J291" s="75"/>
      <c r="K291" s="77"/>
      <c r="L291" s="77">
        <f t="shared" si="158"/>
        <v>8250</v>
      </c>
      <c r="M291" s="77">
        <f t="shared" si="155"/>
        <v>8250</v>
      </c>
      <c r="N291" s="78">
        <f t="shared" si="156"/>
        <v>1</v>
      </c>
      <c r="O291" s="131"/>
      <c r="P291" s="130"/>
    </row>
    <row r="292" spans="1:16" ht="15.5" x14ac:dyDescent="0.35">
      <c r="A292" s="64">
        <v>2025</v>
      </c>
      <c r="B292" s="64">
        <v>1</v>
      </c>
      <c r="C292" s="65">
        <v>45658</v>
      </c>
      <c r="D292" s="65">
        <v>45747</v>
      </c>
      <c r="E292" s="72"/>
      <c r="F292" s="73"/>
      <c r="G292" s="73">
        <f t="shared" si="153"/>
        <v>697280.87</v>
      </c>
      <c r="H292" s="73">
        <f t="shared" si="154"/>
        <v>697280.87</v>
      </c>
      <c r="I292" s="128">
        <f t="shared" si="146"/>
        <v>1</v>
      </c>
      <c r="J292" s="75"/>
      <c r="K292" s="77"/>
      <c r="L292" s="77">
        <f t="shared" si="158"/>
        <v>8250</v>
      </c>
      <c r="M292" s="77">
        <f t="shared" si="155"/>
        <v>8250</v>
      </c>
      <c r="N292" s="78">
        <f t="shared" si="156"/>
        <v>1</v>
      </c>
      <c r="O292" s="131"/>
      <c r="P292" s="130"/>
    </row>
    <row r="293" spans="1:16" ht="15.5" x14ac:dyDescent="0.35">
      <c r="A293" s="64">
        <v>2025</v>
      </c>
      <c r="B293" s="64">
        <v>2</v>
      </c>
      <c r="C293" s="65">
        <v>45748</v>
      </c>
      <c r="D293" s="65">
        <v>45838</v>
      </c>
      <c r="E293" s="72"/>
      <c r="F293" s="73"/>
      <c r="G293" s="73">
        <f t="shared" si="153"/>
        <v>697280.87</v>
      </c>
      <c r="H293" s="73">
        <f t="shared" si="154"/>
        <v>697280.87</v>
      </c>
      <c r="I293" s="128">
        <f t="shared" si="146"/>
        <v>1</v>
      </c>
      <c r="J293" s="75"/>
      <c r="K293" s="77"/>
      <c r="L293" s="77">
        <f t="shared" si="158"/>
        <v>8250</v>
      </c>
      <c r="M293" s="77">
        <f t="shared" si="155"/>
        <v>8250</v>
      </c>
      <c r="N293" s="78">
        <f t="shared" si="156"/>
        <v>1</v>
      </c>
      <c r="O293" s="131"/>
      <c r="P293" s="130"/>
    </row>
    <row r="294" spans="1:16" ht="15.5" x14ac:dyDescent="0.35">
      <c r="A294" s="64">
        <v>2025</v>
      </c>
      <c r="B294" s="64">
        <v>3</v>
      </c>
      <c r="C294" s="65">
        <v>45839</v>
      </c>
      <c r="D294" s="65">
        <v>45930</v>
      </c>
      <c r="E294" s="72"/>
      <c r="F294" s="73"/>
      <c r="G294" s="73">
        <f t="shared" si="153"/>
        <v>697280.87</v>
      </c>
      <c r="H294" s="73">
        <f t="shared" si="154"/>
        <v>697280.87</v>
      </c>
      <c r="I294" s="128">
        <f t="shared" si="146"/>
        <v>1</v>
      </c>
      <c r="J294" s="75"/>
      <c r="K294" s="77"/>
      <c r="L294" s="77">
        <f t="shared" si="158"/>
        <v>8250</v>
      </c>
      <c r="M294" s="77">
        <f t="shared" si="155"/>
        <v>8250</v>
      </c>
      <c r="N294" s="78">
        <f t="shared" si="156"/>
        <v>1</v>
      </c>
      <c r="O294" s="131"/>
      <c r="P294" s="130"/>
    </row>
    <row r="295" spans="1:16" ht="15.5" x14ac:dyDescent="0.35">
      <c r="A295" s="64">
        <v>2025</v>
      </c>
      <c r="B295" s="64">
        <v>4</v>
      </c>
      <c r="C295" s="65">
        <v>45931</v>
      </c>
      <c r="D295" s="65">
        <v>46022</v>
      </c>
      <c r="E295" s="72"/>
      <c r="F295" s="73"/>
      <c r="G295" s="73">
        <f t="shared" si="153"/>
        <v>697280.87</v>
      </c>
      <c r="H295" s="73">
        <f t="shared" si="154"/>
        <v>697280.87</v>
      </c>
      <c r="I295" s="128">
        <f t="shared" si="146"/>
        <v>1</v>
      </c>
      <c r="J295" s="75"/>
      <c r="K295" s="77"/>
      <c r="L295" s="77">
        <f t="shared" si="158"/>
        <v>8250</v>
      </c>
      <c r="M295" s="77">
        <f t="shared" si="155"/>
        <v>8250</v>
      </c>
      <c r="N295" s="78">
        <f t="shared" si="156"/>
        <v>1</v>
      </c>
      <c r="O295" s="131"/>
      <c r="P295" s="130"/>
    </row>
    <row r="296" spans="1:16" ht="15.5" x14ac:dyDescent="0.35">
      <c r="A296" s="64">
        <v>2026</v>
      </c>
      <c r="B296" s="64">
        <v>1</v>
      </c>
      <c r="C296" s="65">
        <v>46023</v>
      </c>
      <c r="D296" s="65">
        <v>46112</v>
      </c>
      <c r="E296" s="72"/>
      <c r="F296" s="73"/>
      <c r="G296" s="73">
        <f t="shared" si="153"/>
        <v>697280.87</v>
      </c>
      <c r="H296" s="73">
        <f t="shared" si="154"/>
        <v>697280.87</v>
      </c>
      <c r="I296" s="128">
        <f>H296/G296</f>
        <v>1</v>
      </c>
      <c r="J296" s="75"/>
      <c r="K296" s="77"/>
      <c r="L296" s="77">
        <f t="shared" si="158"/>
        <v>8250</v>
      </c>
      <c r="M296" s="77">
        <f t="shared" si="155"/>
        <v>8250</v>
      </c>
      <c r="N296" s="78">
        <f t="shared" si="156"/>
        <v>1</v>
      </c>
      <c r="O296" s="131"/>
      <c r="P296" s="130"/>
    </row>
    <row r="297" spans="1:16" ht="15.5" x14ac:dyDescent="0.35">
      <c r="A297" s="64">
        <v>2026</v>
      </c>
      <c r="B297" s="64">
        <v>2</v>
      </c>
      <c r="C297" s="65">
        <v>46113</v>
      </c>
      <c r="D297" s="65">
        <v>46203</v>
      </c>
      <c r="E297" s="72"/>
      <c r="F297" s="73"/>
      <c r="G297" s="73">
        <f t="shared" si="153"/>
        <v>697280.87</v>
      </c>
      <c r="H297" s="73">
        <f t="shared" si="154"/>
        <v>697280.87</v>
      </c>
      <c r="I297" s="128">
        <f t="shared" ref="I297:I298" si="159">H297/G297</f>
        <v>1</v>
      </c>
      <c r="J297" s="75"/>
      <c r="K297" s="77"/>
      <c r="L297" s="77">
        <f t="shared" si="158"/>
        <v>8250</v>
      </c>
      <c r="M297" s="77">
        <f t="shared" si="155"/>
        <v>8250</v>
      </c>
      <c r="N297" s="78">
        <f t="shared" si="156"/>
        <v>1</v>
      </c>
      <c r="O297" s="131"/>
      <c r="P297" s="130"/>
    </row>
    <row r="298" spans="1:16" ht="15.5" x14ac:dyDescent="0.35">
      <c r="A298" s="64">
        <v>2026</v>
      </c>
      <c r="B298" s="64">
        <v>3</v>
      </c>
      <c r="C298" s="65">
        <v>46204</v>
      </c>
      <c r="D298" s="65">
        <v>46295</v>
      </c>
      <c r="E298" s="72"/>
      <c r="F298" s="73"/>
      <c r="G298" s="73">
        <f t="shared" si="153"/>
        <v>697280.87</v>
      </c>
      <c r="H298" s="73">
        <f>SUM(H297+F298)</f>
        <v>697280.87</v>
      </c>
      <c r="I298" s="128">
        <f t="shared" si="159"/>
        <v>1</v>
      </c>
      <c r="J298" s="75"/>
      <c r="K298" s="132"/>
      <c r="L298" s="132">
        <f t="shared" si="158"/>
        <v>8250</v>
      </c>
      <c r="M298" s="132">
        <f t="shared" si="155"/>
        <v>8250</v>
      </c>
      <c r="N298" s="78">
        <f t="shared" si="156"/>
        <v>1</v>
      </c>
      <c r="O298" s="131"/>
      <c r="P298" s="130"/>
    </row>
    <row r="299" spans="1:16" ht="15" thickBot="1" x14ac:dyDescent="0.4">
      <c r="A299" s="133" t="s">
        <v>12</v>
      </c>
      <c r="B299" s="133"/>
      <c r="C299" s="133"/>
      <c r="D299" s="134"/>
      <c r="E299" s="135">
        <v>697280.87</v>
      </c>
      <c r="F299" s="136">
        <f>SUM(F275:F298)</f>
        <v>697280.87</v>
      </c>
      <c r="G299" s="136">
        <f>G298</f>
        <v>697280.87</v>
      </c>
      <c r="H299" s="137">
        <f>H298</f>
        <v>697280.87</v>
      </c>
      <c r="I299" s="144">
        <f>H299/G299</f>
        <v>1</v>
      </c>
      <c r="J299" s="138">
        <v>8250</v>
      </c>
      <c r="K299" s="139">
        <f>SUM(K275:K298)</f>
        <v>8250</v>
      </c>
      <c r="L299" s="140">
        <f>L298</f>
        <v>8250</v>
      </c>
      <c r="M299" s="141">
        <f>M298</f>
        <v>8250</v>
      </c>
      <c r="N299" s="142">
        <f>M299/L299</f>
        <v>1</v>
      </c>
      <c r="O299" s="143">
        <f>SUM(O275:O298)</f>
        <v>14</v>
      </c>
      <c r="P299" s="143">
        <f>SUM(P275:P298)</f>
        <v>11</v>
      </c>
    </row>
    <row r="300" spans="1:16" ht="15" thickTop="1" x14ac:dyDescent="0.35">
      <c r="E300" s="33">
        <f>E299+J299</f>
        <v>705530.87</v>
      </c>
    </row>
    <row r="302" spans="1:16" x14ac:dyDescent="0.35">
      <c r="A302" s="216" t="s">
        <v>105</v>
      </c>
      <c r="B302" s="216"/>
      <c r="C302" s="216"/>
      <c r="D302" s="216"/>
      <c r="E302" s="217"/>
      <c r="F302" s="217"/>
      <c r="G302" s="217"/>
      <c r="H302" s="217"/>
      <c r="I302" s="217"/>
      <c r="J302" s="217"/>
      <c r="K302" s="217"/>
      <c r="L302" s="217"/>
      <c r="M302" s="217"/>
      <c r="N302" s="217"/>
      <c r="O302" s="216"/>
      <c r="P302" s="216"/>
    </row>
    <row r="303" spans="1:16" ht="15" thickBot="1" x14ac:dyDescent="0.4">
      <c r="A303" s="202" t="s">
        <v>0</v>
      </c>
      <c r="B303" s="204"/>
      <c r="C303" s="204"/>
      <c r="D303" s="204"/>
      <c r="E303" s="193" t="s">
        <v>99</v>
      </c>
      <c r="F303" s="193"/>
      <c r="G303" s="193"/>
      <c r="H303" s="193"/>
      <c r="I303" s="194"/>
      <c r="J303" s="195" t="s">
        <v>100</v>
      </c>
      <c r="K303" s="196"/>
      <c r="L303" s="196"/>
      <c r="M303" s="196"/>
      <c r="N303" s="197"/>
      <c r="O303" s="12"/>
      <c r="P303" s="6"/>
    </row>
    <row r="304" spans="1:16" ht="58.5" thickTop="1" x14ac:dyDescent="0.35">
      <c r="A304" s="7" t="s">
        <v>1</v>
      </c>
      <c r="B304" s="7" t="s">
        <v>2</v>
      </c>
      <c r="C304" s="7" t="s">
        <v>3</v>
      </c>
      <c r="D304" s="9" t="s">
        <v>9</v>
      </c>
      <c r="E304" s="25" t="s">
        <v>4</v>
      </c>
      <c r="F304" s="20" t="s">
        <v>6</v>
      </c>
      <c r="G304" s="20" t="s">
        <v>5</v>
      </c>
      <c r="H304" s="20" t="s">
        <v>7</v>
      </c>
      <c r="I304" s="23" t="s">
        <v>8</v>
      </c>
      <c r="J304" s="25" t="s">
        <v>4</v>
      </c>
      <c r="K304" s="26" t="s">
        <v>6</v>
      </c>
      <c r="L304" s="26" t="s">
        <v>5</v>
      </c>
      <c r="M304" s="26" t="s">
        <v>7</v>
      </c>
      <c r="N304" s="27" t="s">
        <v>8</v>
      </c>
      <c r="O304" s="13" t="s">
        <v>94</v>
      </c>
      <c r="P304" s="8" t="s">
        <v>95</v>
      </c>
    </row>
    <row r="305" spans="1:16" ht="15.5" x14ac:dyDescent="0.35">
      <c r="A305" s="64">
        <v>2020</v>
      </c>
      <c r="B305" s="64">
        <v>4</v>
      </c>
      <c r="C305" s="65">
        <v>44105</v>
      </c>
      <c r="D305" s="65">
        <v>44196</v>
      </c>
      <c r="E305" s="66"/>
      <c r="F305" s="66"/>
      <c r="G305" s="66"/>
      <c r="H305" s="66"/>
      <c r="I305" s="67"/>
      <c r="J305" s="66"/>
      <c r="K305" s="66"/>
      <c r="L305" s="66"/>
      <c r="M305" s="66"/>
      <c r="N305" s="67"/>
      <c r="O305" s="68"/>
      <c r="P305" s="69"/>
    </row>
    <row r="306" spans="1:16" ht="15.5" x14ac:dyDescent="0.35">
      <c r="A306" s="64">
        <v>2021</v>
      </c>
      <c r="B306" s="64">
        <v>1</v>
      </c>
      <c r="C306" s="65">
        <v>44197</v>
      </c>
      <c r="D306" s="65">
        <v>44286</v>
      </c>
      <c r="E306" s="66"/>
      <c r="F306" s="66"/>
      <c r="G306" s="66"/>
      <c r="H306" s="66"/>
      <c r="I306" s="67"/>
      <c r="J306" s="66"/>
      <c r="K306" s="66"/>
      <c r="L306" s="66"/>
      <c r="M306" s="66"/>
      <c r="N306" s="67"/>
      <c r="O306" s="68"/>
      <c r="P306" s="69"/>
    </row>
    <row r="307" spans="1:16" ht="15.5" x14ac:dyDescent="0.35">
      <c r="A307" s="89">
        <v>2021</v>
      </c>
      <c r="B307" s="89">
        <v>2</v>
      </c>
      <c r="C307" s="90">
        <v>44287</v>
      </c>
      <c r="D307" s="90">
        <v>44377</v>
      </c>
      <c r="E307" s="100"/>
      <c r="F307" s="92"/>
      <c r="G307" s="92"/>
      <c r="H307" s="92"/>
      <c r="I307" s="101"/>
      <c r="J307" s="102"/>
      <c r="K307" s="103"/>
      <c r="L307" s="104"/>
      <c r="M307" s="103"/>
      <c r="N307" s="105"/>
      <c r="O307" s="109"/>
      <c r="P307" s="107"/>
    </row>
    <row r="308" spans="1:16" ht="15.5" x14ac:dyDescent="0.35">
      <c r="A308" s="64">
        <v>2021</v>
      </c>
      <c r="B308" s="64">
        <v>3</v>
      </c>
      <c r="C308" s="65">
        <v>44378</v>
      </c>
      <c r="D308" s="65">
        <v>44469</v>
      </c>
      <c r="E308" s="100"/>
      <c r="F308" s="73"/>
      <c r="G308" s="73"/>
      <c r="H308" s="73"/>
      <c r="I308" s="74"/>
      <c r="J308" s="102"/>
      <c r="K308" s="76"/>
      <c r="L308" s="76"/>
      <c r="M308" s="76"/>
      <c r="N308" s="118"/>
      <c r="O308" s="119"/>
      <c r="P308" s="68"/>
    </row>
    <row r="309" spans="1:16" ht="15.5" x14ac:dyDescent="0.35">
      <c r="A309" s="64">
        <v>2022</v>
      </c>
      <c r="B309" s="64">
        <v>4</v>
      </c>
      <c r="C309" s="65">
        <v>44470</v>
      </c>
      <c r="D309" s="65">
        <v>44561</v>
      </c>
      <c r="E309" s="100"/>
      <c r="F309" s="73"/>
      <c r="G309" s="73"/>
      <c r="H309" s="73"/>
      <c r="I309" s="74"/>
      <c r="J309" s="102"/>
      <c r="K309" s="76"/>
      <c r="L309" s="76"/>
      <c r="M309" s="76"/>
      <c r="N309" s="118"/>
      <c r="O309" s="119"/>
      <c r="P309" s="68"/>
    </row>
    <row r="310" spans="1:16" ht="15.5" x14ac:dyDescent="0.35">
      <c r="A310" s="64">
        <v>2022</v>
      </c>
      <c r="B310" s="64">
        <v>1</v>
      </c>
      <c r="C310" s="65">
        <v>44562</v>
      </c>
      <c r="D310" s="65">
        <v>44651</v>
      </c>
      <c r="E310" s="100">
        <f>$E$329/9</f>
        <v>3434.3333333333335</v>
      </c>
      <c r="F310" s="73">
        <v>0</v>
      </c>
      <c r="G310" s="73">
        <f>G309+E310</f>
        <v>3434.3333333333335</v>
      </c>
      <c r="H310" s="73">
        <f t="shared" ref="H310:H312" si="160">SUM(H309+F310)</f>
        <v>0</v>
      </c>
      <c r="I310" s="74">
        <f t="shared" ref="I310:I325" si="161">H310/G310</f>
        <v>0</v>
      </c>
      <c r="J310" s="102">
        <f>$J$329/9</f>
        <v>83.333333333333329</v>
      </c>
      <c r="K310" s="76">
        <v>0</v>
      </c>
      <c r="L310" s="76">
        <f t="shared" ref="L310:L312" si="162">L309+J310</f>
        <v>83.333333333333329</v>
      </c>
      <c r="M310" s="76">
        <f t="shared" ref="M310:M311" si="163">SUM(M309+K310)</f>
        <v>0</v>
      </c>
      <c r="N310" s="118">
        <f t="shared" ref="N310:N312" si="164">M310/L310</f>
        <v>0</v>
      </c>
      <c r="O310" s="119">
        <v>0</v>
      </c>
      <c r="P310" s="68">
        <v>1</v>
      </c>
    </row>
    <row r="311" spans="1:16" ht="15.5" x14ac:dyDescent="0.35">
      <c r="A311" s="64">
        <v>2022</v>
      </c>
      <c r="B311" s="64">
        <v>2</v>
      </c>
      <c r="C311" s="65">
        <v>44652</v>
      </c>
      <c r="D311" s="65">
        <v>44742</v>
      </c>
      <c r="E311" s="100">
        <f t="shared" ref="E311:E317" si="165">$E$329/9</f>
        <v>3434.3333333333335</v>
      </c>
      <c r="F311" s="73">
        <v>0</v>
      </c>
      <c r="G311" s="73">
        <f t="shared" ref="G311:G312" si="166">G310+E311</f>
        <v>6868.666666666667</v>
      </c>
      <c r="H311" s="73">
        <f t="shared" si="160"/>
        <v>0</v>
      </c>
      <c r="I311" s="74">
        <f t="shared" si="161"/>
        <v>0</v>
      </c>
      <c r="J311" s="102">
        <f t="shared" ref="J311:J318" si="167">$J$329/9</f>
        <v>83.333333333333329</v>
      </c>
      <c r="K311" s="76">
        <v>0</v>
      </c>
      <c r="L311" s="76">
        <f t="shared" si="162"/>
        <v>166.66666666666666</v>
      </c>
      <c r="M311" s="76">
        <f t="shared" si="163"/>
        <v>0</v>
      </c>
      <c r="N311" s="118">
        <f t="shared" si="164"/>
        <v>0</v>
      </c>
      <c r="O311" s="119">
        <v>1</v>
      </c>
      <c r="P311" s="68">
        <v>0</v>
      </c>
    </row>
    <row r="312" spans="1:16" ht="15.5" x14ac:dyDescent="0.35">
      <c r="A312" s="64">
        <v>2022</v>
      </c>
      <c r="B312" s="64">
        <v>3</v>
      </c>
      <c r="C312" s="65">
        <v>44743</v>
      </c>
      <c r="D312" s="65">
        <v>44834</v>
      </c>
      <c r="E312" s="100">
        <f t="shared" si="165"/>
        <v>3434.3333333333335</v>
      </c>
      <c r="F312" s="73">
        <v>30909</v>
      </c>
      <c r="G312" s="73">
        <f t="shared" si="166"/>
        <v>10303</v>
      </c>
      <c r="H312" s="73">
        <f t="shared" si="160"/>
        <v>30909</v>
      </c>
      <c r="I312" s="74">
        <f t="shared" si="161"/>
        <v>3</v>
      </c>
      <c r="J312" s="102">
        <f t="shared" si="167"/>
        <v>83.333333333333329</v>
      </c>
      <c r="K312" s="76">
        <v>0</v>
      </c>
      <c r="L312" s="76">
        <f t="shared" si="162"/>
        <v>250</v>
      </c>
      <c r="M312" s="76">
        <f>SUM(M311+K312)</f>
        <v>0</v>
      </c>
      <c r="N312" s="118">
        <f t="shared" si="164"/>
        <v>0</v>
      </c>
      <c r="O312" s="119">
        <v>0</v>
      </c>
      <c r="P312" s="68">
        <v>0</v>
      </c>
    </row>
    <row r="313" spans="1:16" ht="15.5" x14ac:dyDescent="0.35">
      <c r="A313" s="64">
        <v>2022</v>
      </c>
      <c r="B313" s="64">
        <v>4</v>
      </c>
      <c r="C313" s="65">
        <v>44835</v>
      </c>
      <c r="D313" s="65">
        <v>44926</v>
      </c>
      <c r="E313" s="100">
        <f t="shared" si="165"/>
        <v>3434.3333333333335</v>
      </c>
      <c r="F313" s="73">
        <v>0</v>
      </c>
      <c r="G313" s="73">
        <f>G312+E313</f>
        <v>13737.333333333334</v>
      </c>
      <c r="H313" s="73">
        <f>SUM(H312+F313)</f>
        <v>30909</v>
      </c>
      <c r="I313" s="74">
        <f t="shared" si="161"/>
        <v>2.25</v>
      </c>
      <c r="J313" s="102">
        <f t="shared" si="167"/>
        <v>83.333333333333329</v>
      </c>
      <c r="K313" s="76">
        <v>0</v>
      </c>
      <c r="L313" s="76">
        <f>L312+J313</f>
        <v>333.33333333333331</v>
      </c>
      <c r="M313" s="76">
        <f>SUM(M312+K313)</f>
        <v>0</v>
      </c>
      <c r="N313" s="118">
        <f>M313/L313</f>
        <v>0</v>
      </c>
      <c r="O313" s="119">
        <v>0</v>
      </c>
      <c r="P313" s="68">
        <v>0</v>
      </c>
    </row>
    <row r="314" spans="1:16" ht="15.5" x14ac:dyDescent="0.35">
      <c r="A314" s="64">
        <v>2023</v>
      </c>
      <c r="B314" s="64">
        <v>1</v>
      </c>
      <c r="C314" s="65">
        <v>44927</v>
      </c>
      <c r="D314" s="65">
        <v>45016</v>
      </c>
      <c r="E314" s="100">
        <f t="shared" si="165"/>
        <v>3434.3333333333335</v>
      </c>
      <c r="F314" s="73">
        <v>0</v>
      </c>
      <c r="G314" s="73">
        <f t="shared" ref="G314:G328" si="168">G313+E314</f>
        <v>17171.666666666668</v>
      </c>
      <c r="H314" s="73">
        <f t="shared" ref="H314:H327" si="169">SUM(H313+F314)</f>
        <v>30909</v>
      </c>
      <c r="I314" s="74">
        <f t="shared" si="161"/>
        <v>1.7999999999999998</v>
      </c>
      <c r="J314" s="102">
        <f t="shared" si="167"/>
        <v>83.333333333333329</v>
      </c>
      <c r="K314" s="76">
        <v>0</v>
      </c>
      <c r="L314" s="76">
        <f>L313+J314</f>
        <v>416.66666666666663</v>
      </c>
      <c r="M314" s="76">
        <f t="shared" ref="M314:M328" si="170">SUM(M313+K314)</f>
        <v>0</v>
      </c>
      <c r="N314" s="118">
        <f t="shared" ref="N314:N328" si="171">M314/L314</f>
        <v>0</v>
      </c>
      <c r="O314" s="119">
        <v>0</v>
      </c>
      <c r="P314" s="68">
        <v>0</v>
      </c>
    </row>
    <row r="315" spans="1:16" ht="15.5" x14ac:dyDescent="0.35">
      <c r="A315" s="64">
        <v>2023</v>
      </c>
      <c r="B315" s="64">
        <v>2</v>
      </c>
      <c r="C315" s="65">
        <v>45017</v>
      </c>
      <c r="D315" s="65">
        <v>45107</v>
      </c>
      <c r="E315" s="100">
        <f t="shared" si="165"/>
        <v>3434.3333333333335</v>
      </c>
      <c r="F315" s="73">
        <v>0</v>
      </c>
      <c r="G315" s="73">
        <f t="shared" si="168"/>
        <v>20606</v>
      </c>
      <c r="H315" s="73">
        <f t="shared" si="169"/>
        <v>30909</v>
      </c>
      <c r="I315" s="74">
        <f t="shared" si="161"/>
        <v>1.5</v>
      </c>
      <c r="J315" s="102">
        <f t="shared" si="167"/>
        <v>83.333333333333329</v>
      </c>
      <c r="K315" s="76">
        <v>0</v>
      </c>
      <c r="L315" s="76">
        <f t="shared" ref="L315" si="172">L314+J315</f>
        <v>499.99999999999994</v>
      </c>
      <c r="M315" s="76">
        <f t="shared" si="170"/>
        <v>0</v>
      </c>
      <c r="N315" s="118">
        <f t="shared" si="171"/>
        <v>0</v>
      </c>
      <c r="O315" s="119">
        <v>0</v>
      </c>
      <c r="P315" s="68">
        <v>0</v>
      </c>
    </row>
    <row r="316" spans="1:16" ht="15.5" x14ac:dyDescent="0.35">
      <c r="A316" s="64">
        <v>2023</v>
      </c>
      <c r="B316" s="64">
        <v>3</v>
      </c>
      <c r="C316" s="65">
        <v>45108</v>
      </c>
      <c r="D316" s="65">
        <v>45199</v>
      </c>
      <c r="E316" s="100">
        <f t="shared" si="165"/>
        <v>3434.3333333333335</v>
      </c>
      <c r="F316" s="73">
        <v>0</v>
      </c>
      <c r="G316" s="73">
        <f t="shared" si="168"/>
        <v>24040.333333333332</v>
      </c>
      <c r="H316" s="73">
        <f t="shared" si="169"/>
        <v>30909</v>
      </c>
      <c r="I316" s="74">
        <f t="shared" si="161"/>
        <v>1.2857142857142858</v>
      </c>
      <c r="J316" s="102">
        <f t="shared" si="167"/>
        <v>83.333333333333329</v>
      </c>
      <c r="K316" s="76">
        <v>0</v>
      </c>
      <c r="L316" s="76">
        <f>L315+J316</f>
        <v>583.33333333333326</v>
      </c>
      <c r="M316" s="76">
        <f t="shared" si="170"/>
        <v>0</v>
      </c>
      <c r="N316" s="118">
        <f t="shared" si="171"/>
        <v>0</v>
      </c>
      <c r="O316" s="119">
        <v>0</v>
      </c>
      <c r="P316" s="68">
        <v>0</v>
      </c>
    </row>
    <row r="317" spans="1:16" ht="15.5" x14ac:dyDescent="0.35">
      <c r="A317" s="64">
        <v>2023</v>
      </c>
      <c r="B317" s="64">
        <v>4</v>
      </c>
      <c r="C317" s="65">
        <v>45200</v>
      </c>
      <c r="D317" s="65">
        <v>45291</v>
      </c>
      <c r="E317" s="72">
        <f t="shared" si="165"/>
        <v>3434.3333333333335</v>
      </c>
      <c r="F317" s="73">
        <v>0</v>
      </c>
      <c r="G317" s="73">
        <f t="shared" si="168"/>
        <v>27474.666666666664</v>
      </c>
      <c r="H317" s="73">
        <f t="shared" si="169"/>
        <v>30909</v>
      </c>
      <c r="I317" s="74">
        <f t="shared" si="161"/>
        <v>1.125</v>
      </c>
      <c r="J317" s="75">
        <f t="shared" si="167"/>
        <v>83.333333333333329</v>
      </c>
      <c r="K317" s="76">
        <v>0</v>
      </c>
      <c r="L317" s="76">
        <f t="shared" ref="L317:L328" si="173">L316+J317</f>
        <v>666.66666666666663</v>
      </c>
      <c r="M317" s="76">
        <f t="shared" si="170"/>
        <v>0</v>
      </c>
      <c r="N317" s="118">
        <f t="shared" si="171"/>
        <v>0</v>
      </c>
      <c r="O317" s="119">
        <v>1</v>
      </c>
      <c r="P317" s="68">
        <v>0</v>
      </c>
    </row>
    <row r="318" spans="1:16" ht="15.5" x14ac:dyDescent="0.35">
      <c r="A318" s="64">
        <v>2024</v>
      </c>
      <c r="B318" s="64">
        <v>1</v>
      </c>
      <c r="C318" s="65">
        <v>45292</v>
      </c>
      <c r="D318" s="65">
        <v>45382</v>
      </c>
      <c r="E318" s="72">
        <f>$E$329/9</f>
        <v>3434.3333333333335</v>
      </c>
      <c r="F318" s="73">
        <v>0</v>
      </c>
      <c r="G318" s="73">
        <f t="shared" si="168"/>
        <v>30908.999999999996</v>
      </c>
      <c r="H318" s="73">
        <f t="shared" si="169"/>
        <v>30909</v>
      </c>
      <c r="I318" s="74">
        <f t="shared" si="161"/>
        <v>1.0000000000000002</v>
      </c>
      <c r="J318" s="75">
        <f t="shared" si="167"/>
        <v>83.333333333333329</v>
      </c>
      <c r="K318" s="76">
        <v>0</v>
      </c>
      <c r="L318" s="76">
        <f t="shared" si="173"/>
        <v>750</v>
      </c>
      <c r="M318" s="76">
        <f t="shared" si="170"/>
        <v>0</v>
      </c>
      <c r="N318" s="118">
        <f t="shared" si="171"/>
        <v>0</v>
      </c>
      <c r="O318" s="119">
        <v>0</v>
      </c>
      <c r="P318" s="68">
        <v>0</v>
      </c>
    </row>
    <row r="319" spans="1:16" ht="15.5" x14ac:dyDescent="0.35">
      <c r="A319" s="64">
        <v>2024</v>
      </c>
      <c r="B319" s="64">
        <v>2</v>
      </c>
      <c r="C319" s="65">
        <v>45383</v>
      </c>
      <c r="D319" s="65">
        <v>45473</v>
      </c>
      <c r="E319" s="72"/>
      <c r="F319" s="73"/>
      <c r="G319" s="73">
        <f t="shared" si="168"/>
        <v>30908.999999999996</v>
      </c>
      <c r="H319" s="73">
        <f t="shared" si="169"/>
        <v>30909</v>
      </c>
      <c r="I319" s="74">
        <f t="shared" si="161"/>
        <v>1.0000000000000002</v>
      </c>
      <c r="J319" s="75"/>
      <c r="K319" s="76"/>
      <c r="L319" s="76">
        <f t="shared" si="173"/>
        <v>750</v>
      </c>
      <c r="M319" s="76">
        <f t="shared" si="170"/>
        <v>0</v>
      </c>
      <c r="N319" s="118">
        <f t="shared" si="171"/>
        <v>0</v>
      </c>
      <c r="O319" s="119"/>
      <c r="P319" s="68"/>
    </row>
    <row r="320" spans="1:16" ht="15.5" x14ac:dyDescent="0.35">
      <c r="A320" s="64">
        <v>2024</v>
      </c>
      <c r="B320" s="64">
        <v>3</v>
      </c>
      <c r="C320" s="65">
        <v>45474</v>
      </c>
      <c r="D320" s="65">
        <v>45565</v>
      </c>
      <c r="E320" s="72"/>
      <c r="F320" s="73"/>
      <c r="G320" s="73">
        <f t="shared" si="168"/>
        <v>30908.999999999996</v>
      </c>
      <c r="H320" s="73">
        <f t="shared" si="169"/>
        <v>30909</v>
      </c>
      <c r="I320" s="128">
        <f t="shared" si="161"/>
        <v>1.0000000000000002</v>
      </c>
      <c r="J320" s="75"/>
      <c r="K320" s="77"/>
      <c r="L320" s="77">
        <f t="shared" si="173"/>
        <v>750</v>
      </c>
      <c r="M320" s="77">
        <f t="shared" si="170"/>
        <v>0</v>
      </c>
      <c r="N320" s="78">
        <f t="shared" si="171"/>
        <v>0</v>
      </c>
      <c r="O320" s="129"/>
      <c r="P320" s="130"/>
    </row>
    <row r="321" spans="1:16" ht="15.5" x14ac:dyDescent="0.35">
      <c r="A321" s="64">
        <v>2024</v>
      </c>
      <c r="B321" s="64">
        <v>4</v>
      </c>
      <c r="C321" s="65">
        <v>45566</v>
      </c>
      <c r="D321" s="65">
        <v>45657</v>
      </c>
      <c r="E321" s="72"/>
      <c r="F321" s="73"/>
      <c r="G321" s="73">
        <f t="shared" si="168"/>
        <v>30908.999999999996</v>
      </c>
      <c r="H321" s="73">
        <f t="shared" si="169"/>
        <v>30909</v>
      </c>
      <c r="I321" s="128">
        <f t="shared" si="161"/>
        <v>1.0000000000000002</v>
      </c>
      <c r="J321" s="75"/>
      <c r="K321" s="77"/>
      <c r="L321" s="77">
        <f t="shared" si="173"/>
        <v>750</v>
      </c>
      <c r="M321" s="77">
        <f t="shared" si="170"/>
        <v>0</v>
      </c>
      <c r="N321" s="78">
        <f t="shared" si="171"/>
        <v>0</v>
      </c>
      <c r="O321" s="131"/>
      <c r="P321" s="130"/>
    </row>
    <row r="322" spans="1:16" ht="15.5" x14ac:dyDescent="0.35">
      <c r="A322" s="64">
        <v>2025</v>
      </c>
      <c r="B322" s="64">
        <v>1</v>
      </c>
      <c r="C322" s="65">
        <v>45658</v>
      </c>
      <c r="D322" s="65">
        <v>45747</v>
      </c>
      <c r="E322" s="72"/>
      <c r="F322" s="73"/>
      <c r="G322" s="73">
        <f t="shared" si="168"/>
        <v>30908.999999999996</v>
      </c>
      <c r="H322" s="73">
        <f t="shared" si="169"/>
        <v>30909</v>
      </c>
      <c r="I322" s="128">
        <f t="shared" si="161"/>
        <v>1.0000000000000002</v>
      </c>
      <c r="J322" s="75"/>
      <c r="K322" s="77"/>
      <c r="L322" s="77">
        <f t="shared" si="173"/>
        <v>750</v>
      </c>
      <c r="M322" s="77">
        <f t="shared" si="170"/>
        <v>0</v>
      </c>
      <c r="N322" s="78">
        <f t="shared" si="171"/>
        <v>0</v>
      </c>
      <c r="O322" s="131"/>
      <c r="P322" s="130"/>
    </row>
    <row r="323" spans="1:16" ht="15.5" x14ac:dyDescent="0.35">
      <c r="A323" s="64">
        <v>2025</v>
      </c>
      <c r="B323" s="64">
        <v>2</v>
      </c>
      <c r="C323" s="65">
        <v>45748</v>
      </c>
      <c r="D323" s="65">
        <v>45838</v>
      </c>
      <c r="E323" s="72"/>
      <c r="F323" s="73"/>
      <c r="G323" s="73">
        <f t="shared" si="168"/>
        <v>30908.999999999996</v>
      </c>
      <c r="H323" s="73">
        <f t="shared" si="169"/>
        <v>30909</v>
      </c>
      <c r="I323" s="128">
        <f t="shared" si="161"/>
        <v>1.0000000000000002</v>
      </c>
      <c r="J323" s="75"/>
      <c r="K323" s="77"/>
      <c r="L323" s="77">
        <f t="shared" si="173"/>
        <v>750</v>
      </c>
      <c r="M323" s="77">
        <f t="shared" si="170"/>
        <v>0</v>
      </c>
      <c r="N323" s="78">
        <f t="shared" si="171"/>
        <v>0</v>
      </c>
      <c r="O323" s="131"/>
      <c r="P323" s="130"/>
    </row>
    <row r="324" spans="1:16" ht="15.5" x14ac:dyDescent="0.35">
      <c r="A324" s="64">
        <v>2025</v>
      </c>
      <c r="B324" s="64">
        <v>3</v>
      </c>
      <c r="C324" s="65">
        <v>45839</v>
      </c>
      <c r="D324" s="65">
        <v>45930</v>
      </c>
      <c r="E324" s="72"/>
      <c r="F324" s="73"/>
      <c r="G324" s="73">
        <f t="shared" si="168"/>
        <v>30908.999999999996</v>
      </c>
      <c r="H324" s="73">
        <f t="shared" si="169"/>
        <v>30909</v>
      </c>
      <c r="I324" s="128">
        <f t="shared" si="161"/>
        <v>1.0000000000000002</v>
      </c>
      <c r="J324" s="75"/>
      <c r="K324" s="77"/>
      <c r="L324" s="77">
        <f t="shared" si="173"/>
        <v>750</v>
      </c>
      <c r="M324" s="77">
        <f t="shared" si="170"/>
        <v>0</v>
      </c>
      <c r="N324" s="78">
        <f t="shared" si="171"/>
        <v>0</v>
      </c>
      <c r="O324" s="131"/>
      <c r="P324" s="130"/>
    </row>
    <row r="325" spans="1:16" ht="15.5" x14ac:dyDescent="0.35">
      <c r="A325" s="64">
        <v>2025</v>
      </c>
      <c r="B325" s="64">
        <v>4</v>
      </c>
      <c r="C325" s="65">
        <v>45931</v>
      </c>
      <c r="D325" s="65">
        <v>46022</v>
      </c>
      <c r="E325" s="72"/>
      <c r="F325" s="73"/>
      <c r="G325" s="73">
        <f t="shared" si="168"/>
        <v>30908.999999999996</v>
      </c>
      <c r="H325" s="73">
        <f t="shared" si="169"/>
        <v>30909</v>
      </c>
      <c r="I325" s="128">
        <f t="shared" si="161"/>
        <v>1.0000000000000002</v>
      </c>
      <c r="J325" s="75"/>
      <c r="K325" s="77"/>
      <c r="L325" s="77">
        <f t="shared" si="173"/>
        <v>750</v>
      </c>
      <c r="M325" s="77">
        <f t="shared" si="170"/>
        <v>0</v>
      </c>
      <c r="N325" s="78">
        <f t="shared" si="171"/>
        <v>0</v>
      </c>
      <c r="O325" s="131"/>
      <c r="P325" s="130"/>
    </row>
    <row r="326" spans="1:16" ht="15.5" x14ac:dyDescent="0.35">
      <c r="A326" s="64">
        <v>2026</v>
      </c>
      <c r="B326" s="64">
        <v>1</v>
      </c>
      <c r="C326" s="65">
        <v>46023</v>
      </c>
      <c r="D326" s="65">
        <v>46112</v>
      </c>
      <c r="E326" s="72"/>
      <c r="F326" s="73"/>
      <c r="G326" s="73">
        <f t="shared" si="168"/>
        <v>30908.999999999996</v>
      </c>
      <c r="H326" s="73">
        <f t="shared" si="169"/>
        <v>30909</v>
      </c>
      <c r="I326" s="128">
        <f>H326/G326</f>
        <v>1.0000000000000002</v>
      </c>
      <c r="J326" s="75"/>
      <c r="K326" s="77"/>
      <c r="L326" s="77">
        <f t="shared" si="173"/>
        <v>750</v>
      </c>
      <c r="M326" s="77">
        <f t="shared" si="170"/>
        <v>0</v>
      </c>
      <c r="N326" s="78">
        <f t="shared" si="171"/>
        <v>0</v>
      </c>
      <c r="O326" s="131"/>
      <c r="P326" s="130"/>
    </row>
    <row r="327" spans="1:16" ht="15.5" x14ac:dyDescent="0.35">
      <c r="A327" s="64">
        <v>2026</v>
      </c>
      <c r="B327" s="64">
        <v>2</v>
      </c>
      <c r="C327" s="65">
        <v>46113</v>
      </c>
      <c r="D327" s="65">
        <v>46203</v>
      </c>
      <c r="E327" s="72"/>
      <c r="F327" s="73"/>
      <c r="G327" s="73">
        <f t="shared" si="168"/>
        <v>30908.999999999996</v>
      </c>
      <c r="H327" s="73">
        <f t="shared" si="169"/>
        <v>30909</v>
      </c>
      <c r="I327" s="128">
        <f t="shared" ref="I327:I328" si="174">H327/G327</f>
        <v>1.0000000000000002</v>
      </c>
      <c r="J327" s="75"/>
      <c r="K327" s="77"/>
      <c r="L327" s="77">
        <f t="shared" si="173"/>
        <v>750</v>
      </c>
      <c r="M327" s="77">
        <f t="shared" si="170"/>
        <v>0</v>
      </c>
      <c r="N327" s="78">
        <f t="shared" si="171"/>
        <v>0</v>
      </c>
      <c r="O327" s="131"/>
      <c r="P327" s="130"/>
    </row>
    <row r="328" spans="1:16" ht="15.5" x14ac:dyDescent="0.35">
      <c r="A328" s="64">
        <v>2026</v>
      </c>
      <c r="B328" s="64">
        <v>3</v>
      </c>
      <c r="C328" s="65">
        <v>46204</v>
      </c>
      <c r="D328" s="65">
        <v>46295</v>
      </c>
      <c r="E328" s="72"/>
      <c r="F328" s="73"/>
      <c r="G328" s="73">
        <f t="shared" si="168"/>
        <v>30908.999999999996</v>
      </c>
      <c r="H328" s="73">
        <f>SUM(H327+F328)</f>
        <v>30909</v>
      </c>
      <c r="I328" s="128">
        <f t="shared" si="174"/>
        <v>1.0000000000000002</v>
      </c>
      <c r="J328" s="75"/>
      <c r="K328" s="132"/>
      <c r="L328" s="132">
        <f t="shared" si="173"/>
        <v>750</v>
      </c>
      <c r="M328" s="132">
        <f t="shared" si="170"/>
        <v>0</v>
      </c>
      <c r="N328" s="78">
        <f t="shared" si="171"/>
        <v>0</v>
      </c>
      <c r="O328" s="131"/>
      <c r="P328" s="130"/>
    </row>
    <row r="329" spans="1:16" ht="15" thickBot="1" x14ac:dyDescent="0.4">
      <c r="A329" s="133" t="s">
        <v>12</v>
      </c>
      <c r="B329" s="133"/>
      <c r="C329" s="133"/>
      <c r="D329" s="134"/>
      <c r="E329" s="135">
        <v>30909</v>
      </c>
      <c r="F329" s="136">
        <f>SUM(F305:F328)</f>
        <v>30909</v>
      </c>
      <c r="G329" s="136">
        <f>G328</f>
        <v>30908.999999999996</v>
      </c>
      <c r="H329" s="137">
        <f>H328</f>
        <v>30909</v>
      </c>
      <c r="I329" s="144">
        <f>H329/G329</f>
        <v>1.0000000000000002</v>
      </c>
      <c r="J329" s="138">
        <v>750</v>
      </c>
      <c r="K329" s="139">
        <f>SUM(K305:K328)</f>
        <v>0</v>
      </c>
      <c r="L329" s="140">
        <f>L328</f>
        <v>750</v>
      </c>
      <c r="M329" s="141">
        <f>M328</f>
        <v>0</v>
      </c>
      <c r="N329" s="142">
        <f>M329/L329</f>
        <v>0</v>
      </c>
      <c r="O329" s="143">
        <f>SUM(O305:O328)</f>
        <v>2</v>
      </c>
      <c r="P329" s="143">
        <f>SUM(P305:P328)</f>
        <v>1</v>
      </c>
    </row>
    <row r="330" spans="1:16" ht="15" thickTop="1" x14ac:dyDescent="0.35">
      <c r="E330" s="33">
        <f>E329+J329</f>
        <v>31659</v>
      </c>
    </row>
    <row r="332" spans="1:16" x14ac:dyDescent="0.35">
      <c r="A332" s="216" t="s">
        <v>106</v>
      </c>
      <c r="B332" s="216"/>
      <c r="C332" s="216"/>
      <c r="D332" s="216"/>
      <c r="E332" s="217"/>
      <c r="F332" s="217"/>
      <c r="G332" s="217"/>
      <c r="H332" s="217"/>
      <c r="I332" s="217"/>
      <c r="J332" s="217"/>
      <c r="K332" s="217"/>
      <c r="L332" s="217"/>
      <c r="M332" s="217"/>
      <c r="N332" s="217"/>
      <c r="O332" s="216"/>
      <c r="P332" s="216"/>
    </row>
    <row r="333" spans="1:16" ht="15" thickBot="1" x14ac:dyDescent="0.4">
      <c r="A333" s="202" t="s">
        <v>0</v>
      </c>
      <c r="B333" s="204"/>
      <c r="C333" s="204"/>
      <c r="D333" s="204"/>
      <c r="E333" s="193" t="s">
        <v>99</v>
      </c>
      <c r="F333" s="193"/>
      <c r="G333" s="193"/>
      <c r="H333" s="193"/>
      <c r="I333" s="194"/>
      <c r="J333" s="195" t="s">
        <v>100</v>
      </c>
      <c r="K333" s="196"/>
      <c r="L333" s="196"/>
      <c r="M333" s="196"/>
      <c r="N333" s="197"/>
      <c r="O333" s="12"/>
      <c r="P333" s="6"/>
    </row>
    <row r="334" spans="1:16" ht="58.5" thickTop="1" x14ac:dyDescent="0.35">
      <c r="A334" s="7" t="s">
        <v>1</v>
      </c>
      <c r="B334" s="7" t="s">
        <v>2</v>
      </c>
      <c r="C334" s="7" t="s">
        <v>3</v>
      </c>
      <c r="D334" s="9" t="s">
        <v>9</v>
      </c>
      <c r="E334" s="25" t="s">
        <v>4</v>
      </c>
      <c r="F334" s="20" t="s">
        <v>6</v>
      </c>
      <c r="G334" s="20" t="s">
        <v>5</v>
      </c>
      <c r="H334" s="20" t="s">
        <v>7</v>
      </c>
      <c r="I334" s="23" t="s">
        <v>8</v>
      </c>
      <c r="J334" s="25" t="s">
        <v>4</v>
      </c>
      <c r="K334" s="26" t="s">
        <v>6</v>
      </c>
      <c r="L334" s="26" t="s">
        <v>5</v>
      </c>
      <c r="M334" s="26" t="s">
        <v>7</v>
      </c>
      <c r="N334" s="27" t="s">
        <v>8</v>
      </c>
      <c r="O334" s="13" t="s">
        <v>94</v>
      </c>
      <c r="P334" s="8" t="s">
        <v>95</v>
      </c>
    </row>
    <row r="335" spans="1:16" ht="15.5" x14ac:dyDescent="0.35">
      <c r="A335" s="64">
        <v>2020</v>
      </c>
      <c r="B335" s="64">
        <v>4</v>
      </c>
      <c r="C335" s="65">
        <v>44105</v>
      </c>
      <c r="D335" s="65">
        <v>44196</v>
      </c>
      <c r="E335" s="66"/>
      <c r="F335" s="66"/>
      <c r="G335" s="66"/>
      <c r="H335" s="66"/>
      <c r="I335" s="67"/>
      <c r="J335" s="66"/>
      <c r="K335" s="66"/>
      <c r="L335" s="66"/>
      <c r="M335" s="66"/>
      <c r="N335" s="67"/>
      <c r="O335" s="68"/>
      <c r="P335" s="69"/>
    </row>
    <row r="336" spans="1:16" ht="15.5" x14ac:dyDescent="0.35">
      <c r="A336" s="64">
        <v>2021</v>
      </c>
      <c r="B336" s="64">
        <v>1</v>
      </c>
      <c r="C336" s="65">
        <v>44197</v>
      </c>
      <c r="D336" s="65">
        <v>44286</v>
      </c>
      <c r="E336" s="66"/>
      <c r="F336" s="66"/>
      <c r="G336" s="66"/>
      <c r="H336" s="66"/>
      <c r="I336" s="67"/>
      <c r="J336" s="66"/>
      <c r="K336" s="66"/>
      <c r="L336" s="66"/>
      <c r="M336" s="66"/>
      <c r="N336" s="67"/>
      <c r="O336" s="68"/>
      <c r="P336" s="69"/>
    </row>
    <row r="337" spans="1:16" ht="15.5" x14ac:dyDescent="0.35">
      <c r="A337" s="89">
        <v>2021</v>
      </c>
      <c r="B337" s="89">
        <v>2</v>
      </c>
      <c r="C337" s="90">
        <v>44287</v>
      </c>
      <c r="D337" s="90">
        <v>44377</v>
      </c>
      <c r="E337" s="100"/>
      <c r="F337" s="92"/>
      <c r="G337" s="92"/>
      <c r="H337" s="92"/>
      <c r="I337" s="101"/>
      <c r="J337" s="102"/>
      <c r="K337" s="103"/>
      <c r="L337" s="104"/>
      <c r="M337" s="103"/>
      <c r="N337" s="105"/>
      <c r="O337" s="109"/>
      <c r="P337" s="107"/>
    </row>
    <row r="338" spans="1:16" ht="15.5" x14ac:dyDescent="0.35">
      <c r="A338" s="64">
        <v>2021</v>
      </c>
      <c r="B338" s="64">
        <v>3</v>
      </c>
      <c r="C338" s="65">
        <v>44378</v>
      </c>
      <c r="D338" s="65">
        <v>44469</v>
      </c>
      <c r="E338" s="100"/>
      <c r="F338" s="73"/>
      <c r="G338" s="73"/>
      <c r="H338" s="73"/>
      <c r="I338" s="74"/>
      <c r="J338" s="102"/>
      <c r="K338" s="76"/>
      <c r="L338" s="76"/>
      <c r="M338" s="76"/>
      <c r="N338" s="118"/>
      <c r="O338" s="119"/>
      <c r="P338" s="68"/>
    </row>
    <row r="339" spans="1:16" ht="15.5" x14ac:dyDescent="0.35">
      <c r="A339" s="64">
        <v>2022</v>
      </c>
      <c r="B339" s="64">
        <v>4</v>
      </c>
      <c r="C339" s="65">
        <v>44470</v>
      </c>
      <c r="D339" s="65">
        <v>44561</v>
      </c>
      <c r="E339" s="100"/>
      <c r="F339" s="73"/>
      <c r="G339" s="73"/>
      <c r="H339" s="73"/>
      <c r="I339" s="74"/>
      <c r="J339" s="102"/>
      <c r="K339" s="76"/>
      <c r="L339" s="76"/>
      <c r="M339" s="76"/>
      <c r="N339" s="118"/>
      <c r="O339" s="119"/>
      <c r="P339" s="68"/>
    </row>
    <row r="340" spans="1:16" ht="15.5" x14ac:dyDescent="0.35">
      <c r="A340" s="64">
        <v>2022</v>
      </c>
      <c r="B340" s="64">
        <v>1</v>
      </c>
      <c r="C340" s="65">
        <v>44562</v>
      </c>
      <c r="D340" s="65">
        <v>44651</v>
      </c>
      <c r="E340" s="100">
        <f>$E$359/9</f>
        <v>889.07444444444445</v>
      </c>
      <c r="F340" s="73">
        <v>0</v>
      </c>
      <c r="G340" s="73">
        <f>G339+E340</f>
        <v>889.07444444444445</v>
      </c>
      <c r="H340" s="73">
        <f t="shared" ref="H340:H342" si="175">SUM(H339+F340)</f>
        <v>0</v>
      </c>
      <c r="I340" s="74">
        <f t="shared" ref="I340:I355" si="176">H340/G340</f>
        <v>0</v>
      </c>
      <c r="J340" s="102">
        <f>$J$359/9</f>
        <v>83.333333333333329</v>
      </c>
      <c r="K340" s="76">
        <v>0</v>
      </c>
      <c r="L340" s="76">
        <f t="shared" ref="L340:L342" si="177">L339+J340</f>
        <v>83.333333333333329</v>
      </c>
      <c r="M340" s="76">
        <f t="shared" ref="M340:M341" si="178">SUM(M339+K340)</f>
        <v>0</v>
      </c>
      <c r="N340" s="118">
        <f t="shared" ref="N340:N342" si="179">M340/L340</f>
        <v>0</v>
      </c>
      <c r="O340" s="119">
        <v>0</v>
      </c>
      <c r="P340" s="68">
        <v>1</v>
      </c>
    </row>
    <row r="341" spans="1:16" ht="15.5" x14ac:dyDescent="0.35">
      <c r="A341" s="64">
        <v>2022</v>
      </c>
      <c r="B341" s="64">
        <v>2</v>
      </c>
      <c r="C341" s="65">
        <v>44652</v>
      </c>
      <c r="D341" s="65">
        <v>44742</v>
      </c>
      <c r="E341" s="100">
        <f t="shared" ref="E341:E348" si="180">$E$359/9</f>
        <v>889.07444444444445</v>
      </c>
      <c r="F341" s="73">
        <v>0</v>
      </c>
      <c r="G341" s="73">
        <f t="shared" ref="G341:G342" si="181">G340+E341</f>
        <v>1778.1488888888889</v>
      </c>
      <c r="H341" s="73">
        <f t="shared" si="175"/>
        <v>0</v>
      </c>
      <c r="I341" s="74">
        <f t="shared" si="176"/>
        <v>0</v>
      </c>
      <c r="J341" s="102">
        <f t="shared" ref="J341:J348" si="182">$J$359/9</f>
        <v>83.333333333333329</v>
      </c>
      <c r="K341" s="76">
        <v>0</v>
      </c>
      <c r="L341" s="76">
        <f t="shared" si="177"/>
        <v>166.66666666666666</v>
      </c>
      <c r="M341" s="76">
        <f t="shared" si="178"/>
        <v>0</v>
      </c>
      <c r="N341" s="118">
        <f t="shared" si="179"/>
        <v>0</v>
      </c>
      <c r="O341" s="119">
        <v>0</v>
      </c>
      <c r="P341" s="68">
        <v>0</v>
      </c>
    </row>
    <row r="342" spans="1:16" ht="15.5" x14ac:dyDescent="0.35">
      <c r="A342" s="64">
        <v>2022</v>
      </c>
      <c r="B342" s="64">
        <v>3</v>
      </c>
      <c r="C342" s="65">
        <v>44743</v>
      </c>
      <c r="D342" s="65">
        <v>44834</v>
      </c>
      <c r="E342" s="100">
        <f t="shared" si="180"/>
        <v>889.07444444444445</v>
      </c>
      <c r="F342" s="73">
        <v>0</v>
      </c>
      <c r="G342" s="73">
        <f t="shared" si="181"/>
        <v>2667.2233333333334</v>
      </c>
      <c r="H342" s="73">
        <f t="shared" si="175"/>
        <v>0</v>
      </c>
      <c r="I342" s="74">
        <f t="shared" si="176"/>
        <v>0</v>
      </c>
      <c r="J342" s="102">
        <f t="shared" si="182"/>
        <v>83.333333333333329</v>
      </c>
      <c r="K342" s="76">
        <v>0</v>
      </c>
      <c r="L342" s="76">
        <f t="shared" si="177"/>
        <v>250</v>
      </c>
      <c r="M342" s="76">
        <f>SUM(M341+K342)</f>
        <v>0</v>
      </c>
      <c r="N342" s="118">
        <f t="shared" si="179"/>
        <v>0</v>
      </c>
      <c r="O342" s="119">
        <v>0</v>
      </c>
      <c r="P342" s="68">
        <v>0</v>
      </c>
    </row>
    <row r="343" spans="1:16" ht="15.5" x14ac:dyDescent="0.35">
      <c r="A343" s="64">
        <v>2022</v>
      </c>
      <c r="B343" s="64">
        <v>4</v>
      </c>
      <c r="C343" s="65">
        <v>44835</v>
      </c>
      <c r="D343" s="65">
        <v>44926</v>
      </c>
      <c r="E343" s="100">
        <f t="shared" si="180"/>
        <v>889.07444444444445</v>
      </c>
      <c r="F343" s="73">
        <v>0</v>
      </c>
      <c r="G343" s="73">
        <f>G342+E343</f>
        <v>3556.2977777777778</v>
      </c>
      <c r="H343" s="73">
        <f>SUM(H342+F343)</f>
        <v>0</v>
      </c>
      <c r="I343" s="74">
        <f t="shared" si="176"/>
        <v>0</v>
      </c>
      <c r="J343" s="102">
        <f t="shared" si="182"/>
        <v>83.333333333333329</v>
      </c>
      <c r="K343" s="76">
        <v>263</v>
      </c>
      <c r="L343" s="76">
        <f>L342+J343</f>
        <v>333.33333333333331</v>
      </c>
      <c r="M343" s="76">
        <f>SUM(M342+K343)</f>
        <v>263</v>
      </c>
      <c r="N343" s="118">
        <f>M343/L343</f>
        <v>0.78900000000000003</v>
      </c>
      <c r="O343" s="119">
        <v>0</v>
      </c>
      <c r="P343" s="68">
        <v>0</v>
      </c>
    </row>
    <row r="344" spans="1:16" ht="15.5" x14ac:dyDescent="0.35">
      <c r="A344" s="64">
        <v>2023</v>
      </c>
      <c r="B344" s="64">
        <v>1</v>
      </c>
      <c r="C344" s="65">
        <v>44927</v>
      </c>
      <c r="D344" s="65">
        <v>45016</v>
      </c>
      <c r="E344" s="100">
        <f t="shared" si="180"/>
        <v>889.07444444444445</v>
      </c>
      <c r="F344" s="73">
        <v>0</v>
      </c>
      <c r="G344" s="73">
        <f t="shared" ref="G344:G358" si="183">G343+E344</f>
        <v>4445.3722222222223</v>
      </c>
      <c r="H344" s="73">
        <f t="shared" ref="H344:H357" si="184">SUM(H343+F344)</f>
        <v>0</v>
      </c>
      <c r="I344" s="74">
        <f t="shared" si="176"/>
        <v>0</v>
      </c>
      <c r="J344" s="102">
        <f t="shared" si="182"/>
        <v>83.333333333333329</v>
      </c>
      <c r="K344" s="76">
        <v>0</v>
      </c>
      <c r="L344" s="76">
        <f>L343+J344</f>
        <v>416.66666666666663</v>
      </c>
      <c r="M344" s="76">
        <f t="shared" ref="M344:M358" si="185">SUM(M343+K344)</f>
        <v>263</v>
      </c>
      <c r="N344" s="118">
        <f t="shared" ref="N344:N358" si="186">M344/L344</f>
        <v>0.63120000000000009</v>
      </c>
      <c r="O344" s="119">
        <v>0</v>
      </c>
      <c r="P344" s="68">
        <v>0</v>
      </c>
    </row>
    <row r="345" spans="1:16" ht="15.5" x14ac:dyDescent="0.35">
      <c r="A345" s="64">
        <v>2023</v>
      </c>
      <c r="B345" s="64">
        <v>2</v>
      </c>
      <c r="C345" s="65">
        <v>45017</v>
      </c>
      <c r="D345" s="65">
        <v>45107</v>
      </c>
      <c r="E345" s="100">
        <f t="shared" si="180"/>
        <v>889.07444444444445</v>
      </c>
      <c r="F345" s="73">
        <v>0</v>
      </c>
      <c r="G345" s="73">
        <f t="shared" si="183"/>
        <v>5334.4466666666667</v>
      </c>
      <c r="H345" s="73">
        <f t="shared" si="184"/>
        <v>0</v>
      </c>
      <c r="I345" s="74">
        <f t="shared" si="176"/>
        <v>0</v>
      </c>
      <c r="J345" s="102">
        <f t="shared" si="182"/>
        <v>83.333333333333329</v>
      </c>
      <c r="K345" s="76">
        <v>0</v>
      </c>
      <c r="L345" s="76">
        <f t="shared" ref="L345" si="187">L344+J345</f>
        <v>499.99999999999994</v>
      </c>
      <c r="M345" s="76">
        <f t="shared" si="185"/>
        <v>263</v>
      </c>
      <c r="N345" s="118">
        <f t="shared" si="186"/>
        <v>0.52600000000000002</v>
      </c>
      <c r="O345" s="119">
        <v>0</v>
      </c>
      <c r="P345" s="68">
        <v>0</v>
      </c>
    </row>
    <row r="346" spans="1:16" ht="15.5" x14ac:dyDescent="0.35">
      <c r="A346" s="64">
        <v>2023</v>
      </c>
      <c r="B346" s="64">
        <v>3</v>
      </c>
      <c r="C346" s="65">
        <v>45108</v>
      </c>
      <c r="D346" s="65">
        <v>45199</v>
      </c>
      <c r="E346" s="100">
        <f t="shared" si="180"/>
        <v>889.07444444444445</v>
      </c>
      <c r="F346" s="73">
        <v>0</v>
      </c>
      <c r="G346" s="73">
        <f t="shared" si="183"/>
        <v>6223.5211111111112</v>
      </c>
      <c r="H346" s="73">
        <f t="shared" si="184"/>
        <v>0</v>
      </c>
      <c r="I346" s="74">
        <f t="shared" si="176"/>
        <v>0</v>
      </c>
      <c r="J346" s="102">
        <f t="shared" si="182"/>
        <v>83.333333333333329</v>
      </c>
      <c r="K346" s="76">
        <v>0</v>
      </c>
      <c r="L346" s="76">
        <f>L345+J346</f>
        <v>583.33333333333326</v>
      </c>
      <c r="M346" s="76">
        <f t="shared" si="185"/>
        <v>263</v>
      </c>
      <c r="N346" s="118">
        <f t="shared" si="186"/>
        <v>0.4508571428571429</v>
      </c>
      <c r="O346" s="119">
        <v>0</v>
      </c>
      <c r="P346" s="68">
        <v>0</v>
      </c>
    </row>
    <row r="347" spans="1:16" ht="15.5" x14ac:dyDescent="0.35">
      <c r="A347" s="64">
        <v>2023</v>
      </c>
      <c r="B347" s="64">
        <v>4</v>
      </c>
      <c r="C347" s="65">
        <v>45200</v>
      </c>
      <c r="D347" s="65">
        <v>45291</v>
      </c>
      <c r="E347" s="72">
        <f t="shared" si="180"/>
        <v>889.07444444444445</v>
      </c>
      <c r="F347" s="73">
        <v>0</v>
      </c>
      <c r="G347" s="73">
        <f t="shared" si="183"/>
        <v>7112.5955555555556</v>
      </c>
      <c r="H347" s="73">
        <f t="shared" si="184"/>
        <v>0</v>
      </c>
      <c r="I347" s="74">
        <f t="shared" si="176"/>
        <v>0</v>
      </c>
      <c r="J347" s="75">
        <f t="shared" si="182"/>
        <v>83.333333333333329</v>
      </c>
      <c r="K347" s="76">
        <v>0</v>
      </c>
      <c r="L347" s="76">
        <f t="shared" ref="L347:L358" si="188">L346+J347</f>
        <v>666.66666666666663</v>
      </c>
      <c r="M347" s="76">
        <f t="shared" si="185"/>
        <v>263</v>
      </c>
      <c r="N347" s="118">
        <f t="shared" si="186"/>
        <v>0.39450000000000002</v>
      </c>
      <c r="O347" s="119">
        <v>1</v>
      </c>
      <c r="P347" s="68">
        <v>0</v>
      </c>
    </row>
    <row r="348" spans="1:16" ht="15.5" x14ac:dyDescent="0.35">
      <c r="A348" s="64">
        <v>2024</v>
      </c>
      <c r="B348" s="64">
        <v>1</v>
      </c>
      <c r="C348" s="65">
        <v>45292</v>
      </c>
      <c r="D348" s="65">
        <v>45382</v>
      </c>
      <c r="E348" s="72">
        <f t="shared" si="180"/>
        <v>889.07444444444445</v>
      </c>
      <c r="F348" s="73">
        <v>8001.67</v>
      </c>
      <c r="G348" s="73">
        <f t="shared" si="183"/>
        <v>8001.67</v>
      </c>
      <c r="H348" s="73">
        <f t="shared" si="184"/>
        <v>8001.67</v>
      </c>
      <c r="I348" s="74">
        <f t="shared" si="176"/>
        <v>1</v>
      </c>
      <c r="J348" s="75">
        <f t="shared" si="182"/>
        <v>83.333333333333329</v>
      </c>
      <c r="K348" s="76"/>
      <c r="L348" s="76">
        <f t="shared" si="188"/>
        <v>750</v>
      </c>
      <c r="M348" s="76">
        <f t="shared" si="185"/>
        <v>263</v>
      </c>
      <c r="N348" s="118">
        <f t="shared" si="186"/>
        <v>0.35066666666666668</v>
      </c>
      <c r="O348" s="119">
        <v>0</v>
      </c>
      <c r="P348" s="68">
        <v>0</v>
      </c>
    </row>
    <row r="349" spans="1:16" ht="15.5" x14ac:dyDescent="0.35">
      <c r="A349" s="64">
        <v>2024</v>
      </c>
      <c r="B349" s="64">
        <v>2</v>
      </c>
      <c r="C349" s="65">
        <v>45383</v>
      </c>
      <c r="D349" s="65">
        <v>45473</v>
      </c>
      <c r="E349" s="72"/>
      <c r="F349" s="73"/>
      <c r="G349" s="73">
        <f t="shared" si="183"/>
        <v>8001.67</v>
      </c>
      <c r="H349" s="73">
        <f t="shared" si="184"/>
        <v>8001.67</v>
      </c>
      <c r="I349" s="74">
        <f t="shared" si="176"/>
        <v>1</v>
      </c>
      <c r="J349" s="75"/>
      <c r="K349" s="76"/>
      <c r="L349" s="76">
        <f t="shared" si="188"/>
        <v>750</v>
      </c>
      <c r="M349" s="76">
        <f t="shared" si="185"/>
        <v>263</v>
      </c>
      <c r="N349" s="118">
        <f t="shared" si="186"/>
        <v>0.35066666666666668</v>
      </c>
      <c r="O349" s="119"/>
      <c r="P349" s="68"/>
    </row>
    <row r="350" spans="1:16" ht="15.5" x14ac:dyDescent="0.35">
      <c r="A350" s="64">
        <v>2024</v>
      </c>
      <c r="B350" s="64">
        <v>3</v>
      </c>
      <c r="C350" s="65">
        <v>45474</v>
      </c>
      <c r="D350" s="65">
        <v>45565</v>
      </c>
      <c r="E350" s="72"/>
      <c r="F350" s="73"/>
      <c r="G350" s="73">
        <f t="shared" si="183"/>
        <v>8001.67</v>
      </c>
      <c r="H350" s="73">
        <f t="shared" si="184"/>
        <v>8001.67</v>
      </c>
      <c r="I350" s="128">
        <f t="shared" si="176"/>
        <v>1</v>
      </c>
      <c r="J350" s="75"/>
      <c r="K350" s="77"/>
      <c r="L350" s="77">
        <f t="shared" si="188"/>
        <v>750</v>
      </c>
      <c r="M350" s="77">
        <f t="shared" si="185"/>
        <v>263</v>
      </c>
      <c r="N350" s="78">
        <f t="shared" si="186"/>
        <v>0.35066666666666668</v>
      </c>
      <c r="O350" s="129"/>
      <c r="P350" s="130"/>
    </row>
    <row r="351" spans="1:16" ht="15.5" x14ac:dyDescent="0.35">
      <c r="A351" s="64">
        <v>2024</v>
      </c>
      <c r="B351" s="64">
        <v>4</v>
      </c>
      <c r="C351" s="65">
        <v>45566</v>
      </c>
      <c r="D351" s="65">
        <v>45657</v>
      </c>
      <c r="E351" s="72"/>
      <c r="F351" s="73"/>
      <c r="G351" s="73">
        <f t="shared" si="183"/>
        <v>8001.67</v>
      </c>
      <c r="H351" s="73">
        <f t="shared" si="184"/>
        <v>8001.67</v>
      </c>
      <c r="I351" s="128">
        <f t="shared" si="176"/>
        <v>1</v>
      </c>
      <c r="J351" s="75"/>
      <c r="K351" s="77"/>
      <c r="L351" s="77">
        <f t="shared" si="188"/>
        <v>750</v>
      </c>
      <c r="M351" s="77">
        <f t="shared" si="185"/>
        <v>263</v>
      </c>
      <c r="N351" s="78">
        <f t="shared" si="186"/>
        <v>0.35066666666666668</v>
      </c>
      <c r="O351" s="131"/>
      <c r="P351" s="130"/>
    </row>
    <row r="352" spans="1:16" ht="15.5" x14ac:dyDescent="0.35">
      <c r="A352" s="64">
        <v>2025</v>
      </c>
      <c r="B352" s="64">
        <v>1</v>
      </c>
      <c r="C352" s="65">
        <v>45658</v>
      </c>
      <c r="D352" s="65">
        <v>45747</v>
      </c>
      <c r="E352" s="72"/>
      <c r="F352" s="73"/>
      <c r="G352" s="73">
        <f t="shared" si="183"/>
        <v>8001.67</v>
      </c>
      <c r="H352" s="73">
        <f t="shared" si="184"/>
        <v>8001.67</v>
      </c>
      <c r="I352" s="128">
        <f t="shared" si="176"/>
        <v>1</v>
      </c>
      <c r="J352" s="75"/>
      <c r="K352" s="77"/>
      <c r="L352" s="77">
        <f t="shared" si="188"/>
        <v>750</v>
      </c>
      <c r="M352" s="77">
        <f t="shared" si="185"/>
        <v>263</v>
      </c>
      <c r="N352" s="78">
        <f t="shared" si="186"/>
        <v>0.35066666666666668</v>
      </c>
      <c r="O352" s="131"/>
      <c r="P352" s="130"/>
    </row>
    <row r="353" spans="1:16" ht="15.5" x14ac:dyDescent="0.35">
      <c r="A353" s="64">
        <v>2025</v>
      </c>
      <c r="B353" s="64">
        <v>2</v>
      </c>
      <c r="C353" s="65">
        <v>45748</v>
      </c>
      <c r="D353" s="65">
        <v>45838</v>
      </c>
      <c r="E353" s="72"/>
      <c r="F353" s="73"/>
      <c r="G353" s="73">
        <f t="shared" si="183"/>
        <v>8001.67</v>
      </c>
      <c r="H353" s="73">
        <f t="shared" si="184"/>
        <v>8001.67</v>
      </c>
      <c r="I353" s="128">
        <f t="shared" si="176"/>
        <v>1</v>
      </c>
      <c r="J353" s="75"/>
      <c r="K353" s="77"/>
      <c r="L353" s="77">
        <f t="shared" si="188"/>
        <v>750</v>
      </c>
      <c r="M353" s="77">
        <f t="shared" si="185"/>
        <v>263</v>
      </c>
      <c r="N353" s="78">
        <f t="shared" si="186"/>
        <v>0.35066666666666668</v>
      </c>
      <c r="O353" s="131"/>
      <c r="P353" s="130"/>
    </row>
    <row r="354" spans="1:16" ht="15.5" x14ac:dyDescent="0.35">
      <c r="A354" s="64">
        <v>2025</v>
      </c>
      <c r="B354" s="64">
        <v>3</v>
      </c>
      <c r="C354" s="65">
        <v>45839</v>
      </c>
      <c r="D354" s="65">
        <v>45930</v>
      </c>
      <c r="E354" s="72"/>
      <c r="F354" s="73"/>
      <c r="G354" s="73">
        <f t="shared" si="183"/>
        <v>8001.67</v>
      </c>
      <c r="H354" s="73">
        <f t="shared" si="184"/>
        <v>8001.67</v>
      </c>
      <c r="I354" s="128">
        <f t="shared" si="176"/>
        <v>1</v>
      </c>
      <c r="J354" s="75"/>
      <c r="K354" s="77"/>
      <c r="L354" s="77">
        <f t="shared" si="188"/>
        <v>750</v>
      </c>
      <c r="M354" s="77">
        <f t="shared" si="185"/>
        <v>263</v>
      </c>
      <c r="N354" s="78">
        <f t="shared" si="186"/>
        <v>0.35066666666666668</v>
      </c>
      <c r="O354" s="131"/>
      <c r="P354" s="130"/>
    </row>
    <row r="355" spans="1:16" ht="15.5" x14ac:dyDescent="0.35">
      <c r="A355" s="64">
        <v>2025</v>
      </c>
      <c r="B355" s="64">
        <v>4</v>
      </c>
      <c r="C355" s="65">
        <v>45931</v>
      </c>
      <c r="D355" s="65">
        <v>46022</v>
      </c>
      <c r="E355" s="72"/>
      <c r="F355" s="73"/>
      <c r="G355" s="73">
        <f t="shared" si="183"/>
        <v>8001.67</v>
      </c>
      <c r="H355" s="73">
        <f t="shared" si="184"/>
        <v>8001.67</v>
      </c>
      <c r="I355" s="128">
        <f t="shared" si="176"/>
        <v>1</v>
      </c>
      <c r="J355" s="75"/>
      <c r="K355" s="77"/>
      <c r="L355" s="77">
        <f t="shared" si="188"/>
        <v>750</v>
      </c>
      <c r="M355" s="77">
        <f t="shared" si="185"/>
        <v>263</v>
      </c>
      <c r="N355" s="78">
        <f t="shared" si="186"/>
        <v>0.35066666666666668</v>
      </c>
      <c r="O355" s="131"/>
      <c r="P355" s="130"/>
    </row>
    <row r="356" spans="1:16" ht="15.5" x14ac:dyDescent="0.35">
      <c r="A356" s="64">
        <v>2026</v>
      </c>
      <c r="B356" s="64">
        <v>1</v>
      </c>
      <c r="C356" s="65">
        <v>46023</v>
      </c>
      <c r="D356" s="65">
        <v>46112</v>
      </c>
      <c r="E356" s="72"/>
      <c r="F356" s="73"/>
      <c r="G356" s="73">
        <f t="shared" si="183"/>
        <v>8001.67</v>
      </c>
      <c r="H356" s="73">
        <f t="shared" si="184"/>
        <v>8001.67</v>
      </c>
      <c r="I356" s="128">
        <f>H356/G356</f>
        <v>1</v>
      </c>
      <c r="J356" s="75"/>
      <c r="K356" s="77"/>
      <c r="L356" s="77">
        <f t="shared" si="188"/>
        <v>750</v>
      </c>
      <c r="M356" s="77">
        <f t="shared" si="185"/>
        <v>263</v>
      </c>
      <c r="N356" s="78">
        <f t="shared" si="186"/>
        <v>0.35066666666666668</v>
      </c>
      <c r="O356" s="131"/>
      <c r="P356" s="130"/>
    </row>
    <row r="357" spans="1:16" ht="15.5" x14ac:dyDescent="0.35">
      <c r="A357" s="64">
        <v>2026</v>
      </c>
      <c r="B357" s="64">
        <v>2</v>
      </c>
      <c r="C357" s="65">
        <v>46113</v>
      </c>
      <c r="D357" s="65">
        <v>46203</v>
      </c>
      <c r="E357" s="72"/>
      <c r="F357" s="73"/>
      <c r="G357" s="73">
        <f t="shared" si="183"/>
        <v>8001.67</v>
      </c>
      <c r="H357" s="73">
        <f t="shared" si="184"/>
        <v>8001.67</v>
      </c>
      <c r="I357" s="128">
        <f t="shared" ref="I357:I358" si="189">H357/G357</f>
        <v>1</v>
      </c>
      <c r="J357" s="75"/>
      <c r="K357" s="77"/>
      <c r="L357" s="77">
        <f t="shared" si="188"/>
        <v>750</v>
      </c>
      <c r="M357" s="77">
        <f t="shared" si="185"/>
        <v>263</v>
      </c>
      <c r="N357" s="78">
        <f t="shared" si="186"/>
        <v>0.35066666666666668</v>
      </c>
      <c r="O357" s="131"/>
      <c r="P357" s="130"/>
    </row>
    <row r="358" spans="1:16" ht="15.5" x14ac:dyDescent="0.35">
      <c r="A358" s="64">
        <v>2026</v>
      </c>
      <c r="B358" s="64">
        <v>3</v>
      </c>
      <c r="C358" s="65">
        <v>46204</v>
      </c>
      <c r="D358" s="65">
        <v>46295</v>
      </c>
      <c r="E358" s="72"/>
      <c r="F358" s="73"/>
      <c r="G358" s="73">
        <f t="shared" si="183"/>
        <v>8001.67</v>
      </c>
      <c r="H358" s="73">
        <f>SUM(H357+F358)</f>
        <v>8001.67</v>
      </c>
      <c r="I358" s="128">
        <f t="shared" si="189"/>
        <v>1</v>
      </c>
      <c r="J358" s="75"/>
      <c r="K358" s="132"/>
      <c r="L358" s="132">
        <f t="shared" si="188"/>
        <v>750</v>
      </c>
      <c r="M358" s="132">
        <f t="shared" si="185"/>
        <v>263</v>
      </c>
      <c r="N358" s="78">
        <f t="shared" si="186"/>
        <v>0.35066666666666668</v>
      </c>
      <c r="O358" s="131"/>
      <c r="P358" s="130"/>
    </row>
    <row r="359" spans="1:16" ht="15" thickBot="1" x14ac:dyDescent="0.4">
      <c r="A359" s="133" t="s">
        <v>12</v>
      </c>
      <c r="B359" s="133"/>
      <c r="C359" s="133"/>
      <c r="D359" s="134"/>
      <c r="E359" s="135">
        <v>8001.67</v>
      </c>
      <c r="F359" s="136">
        <f>SUM(F335:F358)</f>
        <v>8001.67</v>
      </c>
      <c r="G359" s="136">
        <f>G358</f>
        <v>8001.67</v>
      </c>
      <c r="H359" s="137">
        <f>H358</f>
        <v>8001.67</v>
      </c>
      <c r="I359" s="144">
        <f>H359/G359</f>
        <v>1</v>
      </c>
      <c r="J359" s="138">
        <v>750</v>
      </c>
      <c r="K359" s="139">
        <f>SUM(K335:K358)</f>
        <v>263</v>
      </c>
      <c r="L359" s="140">
        <f>L358</f>
        <v>750</v>
      </c>
      <c r="M359" s="141">
        <f>M358</f>
        <v>263</v>
      </c>
      <c r="N359" s="142">
        <f>M359/L359</f>
        <v>0.35066666666666668</v>
      </c>
      <c r="O359" s="143">
        <f>SUM(O335:O358)</f>
        <v>1</v>
      </c>
      <c r="P359" s="143">
        <f>SUM(P335:P358)</f>
        <v>1</v>
      </c>
    </row>
    <row r="360" spans="1:16" ht="15" thickTop="1" x14ac:dyDescent="0.35">
      <c r="E360" s="33">
        <f>E359+J359</f>
        <v>8751.67</v>
      </c>
    </row>
  </sheetData>
  <mergeCells count="48">
    <mergeCell ref="A273:D273"/>
    <mergeCell ref="E273:I273"/>
    <mergeCell ref="J273:N273"/>
    <mergeCell ref="A242:P242"/>
    <mergeCell ref="A243:D243"/>
    <mergeCell ref="E243:I243"/>
    <mergeCell ref="J243:N243"/>
    <mergeCell ref="A272:P272"/>
    <mergeCell ref="A153:D153"/>
    <mergeCell ref="E153:I153"/>
    <mergeCell ref="J153:N153"/>
    <mergeCell ref="A182:P182"/>
    <mergeCell ref="A183:D183"/>
    <mergeCell ref="E183:I183"/>
    <mergeCell ref="J183:N183"/>
    <mergeCell ref="A122:P122"/>
    <mergeCell ref="A123:D123"/>
    <mergeCell ref="E123:I123"/>
    <mergeCell ref="J123:N123"/>
    <mergeCell ref="A152:P152"/>
    <mergeCell ref="A32:D32"/>
    <mergeCell ref="E32:I32"/>
    <mergeCell ref="J32:N32"/>
    <mergeCell ref="A61:P61"/>
    <mergeCell ref="A62:D62"/>
    <mergeCell ref="E62:I62"/>
    <mergeCell ref="J62:N62"/>
    <mergeCell ref="A1:P1"/>
    <mergeCell ref="A2:D2"/>
    <mergeCell ref="E2:I2"/>
    <mergeCell ref="J2:N2"/>
    <mergeCell ref="A31:P31"/>
    <mergeCell ref="A333:D333"/>
    <mergeCell ref="E333:I333"/>
    <mergeCell ref="J333:N333"/>
    <mergeCell ref="A91:P91"/>
    <mergeCell ref="A92:D92"/>
    <mergeCell ref="E92:I92"/>
    <mergeCell ref="J92:N92"/>
    <mergeCell ref="A212:P212"/>
    <mergeCell ref="A213:D213"/>
    <mergeCell ref="E213:I213"/>
    <mergeCell ref="J213:N213"/>
    <mergeCell ref="A302:P302"/>
    <mergeCell ref="A303:D303"/>
    <mergeCell ref="E303:I303"/>
    <mergeCell ref="J303:N303"/>
    <mergeCell ref="A332:P33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BAC6-14BD-446F-87A5-EDFF2D8B9348}">
  <dimension ref="A1:P119"/>
  <sheetViews>
    <sheetView zoomScale="80" zoomScaleNormal="80" workbookViewId="0">
      <selection activeCell="I109" sqref="I109"/>
    </sheetView>
  </sheetViews>
  <sheetFormatPr defaultColWidth="9.1796875" defaultRowHeight="14.5" x14ac:dyDescent="0.35"/>
  <cols>
    <col min="1" max="2" width="9.1796875" style="116"/>
    <col min="3" max="3" width="11.7265625" style="116" bestFit="1" customWidth="1"/>
    <col min="4" max="4" width="13" style="116" bestFit="1" customWidth="1"/>
    <col min="5" max="8" width="15.1796875" style="116" bestFit="1" customWidth="1"/>
    <col min="9" max="9" width="9" style="116" bestFit="1" customWidth="1"/>
    <col min="10" max="10" width="12.7265625" style="116" bestFit="1" customWidth="1"/>
    <col min="11" max="13" width="12.26953125" style="116" bestFit="1" customWidth="1"/>
    <col min="14" max="14" width="9.1796875" style="116"/>
    <col min="15" max="15" width="14.81640625" style="116" customWidth="1"/>
    <col min="16" max="16" width="16" style="116" customWidth="1"/>
    <col min="17" max="17" width="14.26953125" style="116" customWidth="1"/>
    <col min="18" max="18" width="13.1796875" style="116" customWidth="1"/>
    <col min="19" max="19" width="14" style="116" customWidth="1"/>
    <col min="20" max="20" width="14.1796875" style="116" customWidth="1"/>
    <col min="21" max="16384" width="9.1796875" style="116"/>
  </cols>
  <sheetData>
    <row r="1" spans="1:16" x14ac:dyDescent="0.35">
      <c r="A1" s="216" t="s">
        <v>109</v>
      </c>
      <c r="B1" s="216"/>
      <c r="C1" s="216"/>
      <c r="D1" s="216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6"/>
      <c r="P1" s="216"/>
    </row>
    <row r="2" spans="1:16" ht="15" thickBot="1" x14ac:dyDescent="0.4">
      <c r="A2" s="202" t="s">
        <v>0</v>
      </c>
      <c r="B2" s="204"/>
      <c r="C2" s="204"/>
      <c r="D2" s="204"/>
      <c r="E2" s="193" t="s">
        <v>110</v>
      </c>
      <c r="F2" s="193"/>
      <c r="G2" s="193"/>
      <c r="H2" s="193"/>
      <c r="I2" s="194"/>
      <c r="J2" s="195" t="s">
        <v>111</v>
      </c>
      <c r="K2" s="196"/>
      <c r="L2" s="196"/>
      <c r="M2" s="196"/>
      <c r="N2" s="197"/>
      <c r="O2" s="12"/>
      <c r="P2" s="6"/>
    </row>
    <row r="3" spans="1:16" ht="58.5" thickTop="1" x14ac:dyDescent="0.35">
      <c r="A3" s="7" t="s">
        <v>1</v>
      </c>
      <c r="B3" s="7" t="s">
        <v>2</v>
      </c>
      <c r="C3" s="7" t="s">
        <v>3</v>
      </c>
      <c r="D3" s="9" t="s">
        <v>9</v>
      </c>
      <c r="E3" s="25" t="s">
        <v>4</v>
      </c>
      <c r="F3" s="20" t="s">
        <v>6</v>
      </c>
      <c r="G3" s="20" t="s">
        <v>5</v>
      </c>
      <c r="H3" s="20" t="s">
        <v>7</v>
      </c>
      <c r="I3" s="23" t="s">
        <v>8</v>
      </c>
      <c r="J3" s="25" t="s">
        <v>4</v>
      </c>
      <c r="K3" s="26" t="s">
        <v>6</v>
      </c>
      <c r="L3" s="26" t="s">
        <v>5</v>
      </c>
      <c r="M3" s="26" t="s">
        <v>7</v>
      </c>
      <c r="N3" s="27" t="s">
        <v>8</v>
      </c>
      <c r="O3" s="13" t="s">
        <v>112</v>
      </c>
      <c r="P3" s="8" t="s">
        <v>113</v>
      </c>
    </row>
    <row r="4" spans="1:16" ht="15.5" x14ac:dyDescent="0.35">
      <c r="A4" s="64">
        <v>2020</v>
      </c>
      <c r="B4" s="64">
        <v>4</v>
      </c>
      <c r="C4" s="65">
        <v>44105</v>
      </c>
      <c r="D4" s="65">
        <v>44196</v>
      </c>
      <c r="E4" s="66"/>
      <c r="F4" s="66"/>
      <c r="G4" s="66"/>
      <c r="H4" s="66"/>
      <c r="I4" s="67"/>
      <c r="J4" s="66"/>
      <c r="K4" s="66"/>
      <c r="L4" s="66"/>
      <c r="M4" s="66"/>
      <c r="N4" s="67"/>
      <c r="O4" s="68"/>
      <c r="P4" s="69"/>
    </row>
    <row r="5" spans="1:16" ht="15.5" x14ac:dyDescent="0.35">
      <c r="A5" s="64">
        <v>2021</v>
      </c>
      <c r="B5" s="64">
        <v>1</v>
      </c>
      <c r="C5" s="65">
        <v>44197</v>
      </c>
      <c r="D5" s="65">
        <v>44286</v>
      </c>
      <c r="E5" s="66"/>
      <c r="F5" s="66"/>
      <c r="G5" s="66"/>
      <c r="H5" s="66"/>
      <c r="I5" s="67"/>
      <c r="J5" s="66"/>
      <c r="K5" s="66"/>
      <c r="L5" s="66"/>
      <c r="M5" s="66"/>
      <c r="N5" s="67"/>
      <c r="O5" s="68"/>
      <c r="P5" s="69"/>
    </row>
    <row r="6" spans="1:16" ht="15.5" x14ac:dyDescent="0.35">
      <c r="A6" s="89">
        <v>2021</v>
      </c>
      <c r="B6" s="89">
        <v>2</v>
      </c>
      <c r="C6" s="90">
        <v>44287</v>
      </c>
      <c r="D6" s="90">
        <v>44377</v>
      </c>
      <c r="E6" s="100">
        <f>$E$28/4</f>
        <v>114616.75</v>
      </c>
      <c r="F6" s="92"/>
      <c r="G6" s="73">
        <f t="shared" ref="G6:G8" si="0">G5+E6</f>
        <v>114616.75</v>
      </c>
      <c r="H6" s="73">
        <f t="shared" ref="H6:H8" si="1">SUM(H5+F6)</f>
        <v>0</v>
      </c>
      <c r="I6" s="74">
        <f t="shared" ref="I6:I8" si="2">H6/G6</f>
        <v>0</v>
      </c>
      <c r="J6" s="102">
        <f>$J$28/4</f>
        <v>3750</v>
      </c>
      <c r="K6" s="103">
        <v>0</v>
      </c>
      <c r="L6" s="76">
        <f t="shared" ref="L6:L8" si="3">L5+J6</f>
        <v>3750</v>
      </c>
      <c r="M6" s="76">
        <f t="shared" ref="M6:M8" si="4">SUM(M5+K6)</f>
        <v>0</v>
      </c>
      <c r="N6" s="118">
        <f t="shared" ref="N6:N8" si="5">M6/L6</f>
        <v>0</v>
      </c>
      <c r="O6" s="109">
        <v>0</v>
      </c>
      <c r="P6" s="107">
        <v>0</v>
      </c>
    </row>
    <row r="7" spans="1:16" ht="15.5" x14ac:dyDescent="0.35">
      <c r="A7" s="64">
        <v>2021</v>
      </c>
      <c r="B7" s="64">
        <v>3</v>
      </c>
      <c r="C7" s="65">
        <v>44378</v>
      </c>
      <c r="D7" s="65">
        <v>44469</v>
      </c>
      <c r="E7" s="100">
        <f t="shared" ref="E7:E9" si="6">$E$28/4</f>
        <v>114616.75</v>
      </c>
      <c r="F7" s="73">
        <v>44778</v>
      </c>
      <c r="G7" s="73">
        <f t="shared" si="0"/>
        <v>229233.5</v>
      </c>
      <c r="H7" s="73">
        <f t="shared" si="1"/>
        <v>44778</v>
      </c>
      <c r="I7" s="74">
        <f t="shared" si="2"/>
        <v>0.19533794144398614</v>
      </c>
      <c r="J7" s="102">
        <f t="shared" ref="J7:J9" si="7">$J$28/4</f>
        <v>3750</v>
      </c>
      <c r="K7" s="76">
        <v>0</v>
      </c>
      <c r="L7" s="76">
        <f t="shared" si="3"/>
        <v>7500</v>
      </c>
      <c r="M7" s="76">
        <f t="shared" si="4"/>
        <v>0</v>
      </c>
      <c r="N7" s="118">
        <f t="shared" si="5"/>
        <v>0</v>
      </c>
      <c r="O7" s="119">
        <v>0</v>
      </c>
      <c r="P7" s="68">
        <v>0</v>
      </c>
    </row>
    <row r="8" spans="1:16" ht="15.5" x14ac:dyDescent="0.35">
      <c r="A8" s="64">
        <v>2022</v>
      </c>
      <c r="B8" s="64">
        <v>4</v>
      </c>
      <c r="C8" s="65">
        <v>44470</v>
      </c>
      <c r="D8" s="65">
        <v>44561</v>
      </c>
      <c r="E8" s="100">
        <f t="shared" si="6"/>
        <v>114616.75</v>
      </c>
      <c r="F8" s="73">
        <v>145927</v>
      </c>
      <c r="G8" s="73">
        <f t="shared" si="0"/>
        <v>343850.25</v>
      </c>
      <c r="H8" s="73">
        <f t="shared" si="1"/>
        <v>190705</v>
      </c>
      <c r="I8" s="74">
        <f t="shared" si="2"/>
        <v>0.55461643549772033</v>
      </c>
      <c r="J8" s="102">
        <f t="shared" si="7"/>
        <v>3750</v>
      </c>
      <c r="K8" s="76">
        <v>5000</v>
      </c>
      <c r="L8" s="76">
        <f t="shared" si="3"/>
        <v>11250</v>
      </c>
      <c r="M8" s="76">
        <f t="shared" si="4"/>
        <v>5000</v>
      </c>
      <c r="N8" s="118">
        <f t="shared" si="5"/>
        <v>0.44444444444444442</v>
      </c>
      <c r="O8" s="119">
        <v>0</v>
      </c>
      <c r="P8" s="68">
        <v>0</v>
      </c>
    </row>
    <row r="9" spans="1:16" ht="15.5" x14ac:dyDescent="0.35">
      <c r="A9" s="64">
        <v>2022</v>
      </c>
      <c r="B9" s="64">
        <v>1</v>
      </c>
      <c r="C9" s="65">
        <v>44562</v>
      </c>
      <c r="D9" s="65">
        <v>44651</v>
      </c>
      <c r="E9" s="100">
        <f t="shared" si="6"/>
        <v>114616.75</v>
      </c>
      <c r="F9" s="73">
        <v>267762</v>
      </c>
      <c r="G9" s="73">
        <f>G8+E9</f>
        <v>458467</v>
      </c>
      <c r="H9" s="73">
        <f t="shared" ref="H9:H11" si="8">SUM(H8+F9)</f>
        <v>458467</v>
      </c>
      <c r="I9" s="74">
        <f t="shared" ref="I9:I24" si="9">H9/G9</f>
        <v>1</v>
      </c>
      <c r="J9" s="102">
        <f t="shared" si="7"/>
        <v>3750</v>
      </c>
      <c r="K9" s="76">
        <v>10000</v>
      </c>
      <c r="L9" s="76">
        <f t="shared" ref="L9:L11" si="10">L8+J9</f>
        <v>15000</v>
      </c>
      <c r="M9" s="76">
        <f t="shared" ref="M9:M10" si="11">SUM(M8+K9)</f>
        <v>15000</v>
      </c>
      <c r="N9" s="118">
        <f t="shared" ref="N9:N11" si="12">M9/L9</f>
        <v>1</v>
      </c>
      <c r="O9" s="119">
        <v>2838</v>
      </c>
      <c r="P9" s="68">
        <v>2838</v>
      </c>
    </row>
    <row r="10" spans="1:16" ht="15.5" x14ac:dyDescent="0.35">
      <c r="A10" s="64">
        <v>2022</v>
      </c>
      <c r="B10" s="64">
        <v>2</v>
      </c>
      <c r="C10" s="65">
        <v>44652</v>
      </c>
      <c r="D10" s="65">
        <v>44742</v>
      </c>
      <c r="E10" s="100"/>
      <c r="F10" s="73"/>
      <c r="G10" s="73">
        <f t="shared" ref="G10:G11" si="13">G9+E10</f>
        <v>458467</v>
      </c>
      <c r="H10" s="73">
        <f t="shared" si="8"/>
        <v>458467</v>
      </c>
      <c r="I10" s="74">
        <f t="shared" si="9"/>
        <v>1</v>
      </c>
      <c r="J10" s="102"/>
      <c r="K10" s="76"/>
      <c r="L10" s="76">
        <f t="shared" si="10"/>
        <v>15000</v>
      </c>
      <c r="M10" s="76">
        <f t="shared" si="11"/>
        <v>15000</v>
      </c>
      <c r="N10" s="118">
        <f t="shared" si="12"/>
        <v>1</v>
      </c>
      <c r="O10" s="119"/>
      <c r="P10" s="68"/>
    </row>
    <row r="11" spans="1:16" ht="15.5" x14ac:dyDescent="0.35">
      <c r="A11" s="64">
        <v>2022</v>
      </c>
      <c r="B11" s="64">
        <v>3</v>
      </c>
      <c r="C11" s="65">
        <v>44743</v>
      </c>
      <c r="D11" s="65">
        <v>44834</v>
      </c>
      <c r="E11" s="100"/>
      <c r="F11" s="73"/>
      <c r="G11" s="73">
        <f t="shared" si="13"/>
        <v>458467</v>
      </c>
      <c r="H11" s="73">
        <f t="shared" si="8"/>
        <v>458467</v>
      </c>
      <c r="I11" s="74">
        <f t="shared" si="9"/>
        <v>1</v>
      </c>
      <c r="J11" s="102"/>
      <c r="K11" s="76"/>
      <c r="L11" s="76">
        <f t="shared" si="10"/>
        <v>15000</v>
      </c>
      <c r="M11" s="76">
        <f>SUM(M10+K11)</f>
        <v>15000</v>
      </c>
      <c r="N11" s="118">
        <f t="shared" si="12"/>
        <v>1</v>
      </c>
      <c r="O11" s="119"/>
      <c r="P11" s="68"/>
    </row>
    <row r="12" spans="1:16" ht="15.5" x14ac:dyDescent="0.35">
      <c r="A12" s="64">
        <v>2022</v>
      </c>
      <c r="B12" s="64">
        <v>4</v>
      </c>
      <c r="C12" s="65">
        <v>44835</v>
      </c>
      <c r="D12" s="65">
        <v>44926</v>
      </c>
      <c r="E12" s="100"/>
      <c r="F12" s="73"/>
      <c r="G12" s="73">
        <f>G11+E12</f>
        <v>458467</v>
      </c>
      <c r="H12" s="73">
        <f>SUM(H11+F12)</f>
        <v>458467</v>
      </c>
      <c r="I12" s="74">
        <f t="shared" si="9"/>
        <v>1</v>
      </c>
      <c r="J12" s="102"/>
      <c r="K12" s="76"/>
      <c r="L12" s="76">
        <f>L11+J12</f>
        <v>15000</v>
      </c>
      <c r="M12" s="76">
        <f>SUM(M11+K12)</f>
        <v>15000</v>
      </c>
      <c r="N12" s="118">
        <f>M12/L12</f>
        <v>1</v>
      </c>
      <c r="O12" s="119"/>
      <c r="P12" s="68"/>
    </row>
    <row r="13" spans="1:16" ht="15.5" x14ac:dyDescent="0.35">
      <c r="A13" s="64">
        <v>2023</v>
      </c>
      <c r="B13" s="64">
        <v>1</v>
      </c>
      <c r="C13" s="65">
        <v>44927</v>
      </c>
      <c r="D13" s="65">
        <v>45016</v>
      </c>
      <c r="E13" s="100"/>
      <c r="F13" s="73"/>
      <c r="G13" s="73">
        <f t="shared" ref="G13:G27" si="14">G12+E13</f>
        <v>458467</v>
      </c>
      <c r="H13" s="73">
        <f t="shared" ref="H13:H26" si="15">SUM(H12+F13)</f>
        <v>458467</v>
      </c>
      <c r="I13" s="74">
        <f t="shared" si="9"/>
        <v>1</v>
      </c>
      <c r="J13" s="102"/>
      <c r="K13" s="76"/>
      <c r="L13" s="76">
        <f>L12+J13</f>
        <v>15000</v>
      </c>
      <c r="M13" s="76">
        <f t="shared" ref="M13:M27" si="16">SUM(M12+K13)</f>
        <v>15000</v>
      </c>
      <c r="N13" s="118">
        <f t="shared" ref="N13:N27" si="17">M13/L13</f>
        <v>1</v>
      </c>
      <c r="O13" s="119"/>
      <c r="P13" s="68"/>
    </row>
    <row r="14" spans="1:16" ht="15.5" x14ac:dyDescent="0.35">
      <c r="A14" s="64">
        <v>2023</v>
      </c>
      <c r="B14" s="64">
        <v>2</v>
      </c>
      <c r="C14" s="65">
        <v>45017</v>
      </c>
      <c r="D14" s="65">
        <v>45107</v>
      </c>
      <c r="E14" s="100"/>
      <c r="F14" s="73"/>
      <c r="G14" s="73">
        <f t="shared" si="14"/>
        <v>458467</v>
      </c>
      <c r="H14" s="73">
        <f t="shared" si="15"/>
        <v>458467</v>
      </c>
      <c r="I14" s="74">
        <f t="shared" si="9"/>
        <v>1</v>
      </c>
      <c r="J14" s="102"/>
      <c r="K14" s="76"/>
      <c r="L14" s="76">
        <f t="shared" ref="L14" si="18">L13+J14</f>
        <v>15000</v>
      </c>
      <c r="M14" s="76">
        <f t="shared" si="16"/>
        <v>15000</v>
      </c>
      <c r="N14" s="118">
        <f t="shared" si="17"/>
        <v>1</v>
      </c>
      <c r="O14" s="119"/>
      <c r="P14" s="68"/>
    </row>
    <row r="15" spans="1:16" ht="15.5" x14ac:dyDescent="0.35">
      <c r="A15" s="64">
        <v>2023</v>
      </c>
      <c r="B15" s="64">
        <v>3</v>
      </c>
      <c r="C15" s="65">
        <v>45108</v>
      </c>
      <c r="D15" s="65">
        <v>45199</v>
      </c>
      <c r="E15" s="100"/>
      <c r="F15" s="73"/>
      <c r="G15" s="73">
        <f t="shared" si="14"/>
        <v>458467</v>
      </c>
      <c r="H15" s="73">
        <f t="shared" si="15"/>
        <v>458467</v>
      </c>
      <c r="I15" s="74">
        <f t="shared" si="9"/>
        <v>1</v>
      </c>
      <c r="J15" s="102"/>
      <c r="K15" s="76"/>
      <c r="L15" s="76">
        <f>L14+J15</f>
        <v>15000</v>
      </c>
      <c r="M15" s="76">
        <f t="shared" si="16"/>
        <v>15000</v>
      </c>
      <c r="N15" s="118">
        <f t="shared" si="17"/>
        <v>1</v>
      </c>
      <c r="O15" s="119"/>
      <c r="P15" s="68"/>
    </row>
    <row r="16" spans="1:16" ht="15.5" x14ac:dyDescent="0.35">
      <c r="A16" s="64">
        <v>2023</v>
      </c>
      <c r="B16" s="64">
        <v>4</v>
      </c>
      <c r="C16" s="65">
        <v>45200</v>
      </c>
      <c r="D16" s="65">
        <v>45291</v>
      </c>
      <c r="E16" s="72"/>
      <c r="F16" s="73"/>
      <c r="G16" s="73">
        <f t="shared" si="14"/>
        <v>458467</v>
      </c>
      <c r="H16" s="73">
        <f t="shared" si="15"/>
        <v>458467</v>
      </c>
      <c r="I16" s="74">
        <f t="shared" si="9"/>
        <v>1</v>
      </c>
      <c r="J16" s="75"/>
      <c r="K16" s="76"/>
      <c r="L16" s="76">
        <f t="shared" ref="L16:L27" si="19">L15+J16</f>
        <v>15000</v>
      </c>
      <c r="M16" s="76">
        <f t="shared" si="16"/>
        <v>15000</v>
      </c>
      <c r="N16" s="118">
        <f t="shared" si="17"/>
        <v>1</v>
      </c>
      <c r="O16" s="119"/>
      <c r="P16" s="68"/>
    </row>
    <row r="17" spans="1:16" ht="15.5" x14ac:dyDescent="0.35">
      <c r="A17" s="64">
        <v>2024</v>
      </c>
      <c r="B17" s="64">
        <v>1</v>
      </c>
      <c r="C17" s="65">
        <v>45292</v>
      </c>
      <c r="D17" s="65">
        <v>45382</v>
      </c>
      <c r="E17" s="72"/>
      <c r="F17" s="73"/>
      <c r="G17" s="73">
        <f t="shared" si="14"/>
        <v>458467</v>
      </c>
      <c r="H17" s="73">
        <f t="shared" si="15"/>
        <v>458467</v>
      </c>
      <c r="I17" s="74">
        <f t="shared" si="9"/>
        <v>1</v>
      </c>
      <c r="J17" s="75"/>
      <c r="K17" s="76"/>
      <c r="L17" s="76">
        <f t="shared" si="19"/>
        <v>15000</v>
      </c>
      <c r="M17" s="76">
        <f t="shared" si="16"/>
        <v>15000</v>
      </c>
      <c r="N17" s="118">
        <f t="shared" si="17"/>
        <v>1</v>
      </c>
      <c r="O17" s="119"/>
      <c r="P17" s="68"/>
    </row>
    <row r="18" spans="1:16" ht="15.5" x14ac:dyDescent="0.35">
      <c r="A18" s="64">
        <v>2024</v>
      </c>
      <c r="B18" s="64">
        <v>2</v>
      </c>
      <c r="C18" s="65">
        <v>45383</v>
      </c>
      <c r="D18" s="65">
        <v>45473</v>
      </c>
      <c r="E18" s="72"/>
      <c r="F18" s="73"/>
      <c r="G18" s="73">
        <f t="shared" si="14"/>
        <v>458467</v>
      </c>
      <c r="H18" s="73">
        <f t="shared" si="15"/>
        <v>458467</v>
      </c>
      <c r="I18" s="74">
        <f t="shared" si="9"/>
        <v>1</v>
      </c>
      <c r="J18" s="75"/>
      <c r="K18" s="76"/>
      <c r="L18" s="76">
        <f t="shared" si="19"/>
        <v>15000</v>
      </c>
      <c r="M18" s="76">
        <f t="shared" si="16"/>
        <v>15000</v>
      </c>
      <c r="N18" s="118">
        <f t="shared" si="17"/>
        <v>1</v>
      </c>
      <c r="O18" s="119"/>
      <c r="P18" s="68"/>
    </row>
    <row r="19" spans="1:16" ht="15.5" x14ac:dyDescent="0.35">
      <c r="A19" s="64">
        <v>2024</v>
      </c>
      <c r="B19" s="64">
        <v>3</v>
      </c>
      <c r="C19" s="65">
        <v>45474</v>
      </c>
      <c r="D19" s="65">
        <v>45565</v>
      </c>
      <c r="E19" s="72"/>
      <c r="F19" s="73"/>
      <c r="G19" s="73">
        <f t="shared" si="14"/>
        <v>458467</v>
      </c>
      <c r="H19" s="73">
        <f t="shared" si="15"/>
        <v>458467</v>
      </c>
      <c r="I19" s="128">
        <f t="shared" si="9"/>
        <v>1</v>
      </c>
      <c r="J19" s="75"/>
      <c r="K19" s="77"/>
      <c r="L19" s="77">
        <f t="shared" si="19"/>
        <v>15000</v>
      </c>
      <c r="M19" s="77">
        <f t="shared" si="16"/>
        <v>15000</v>
      </c>
      <c r="N19" s="78">
        <f t="shared" si="17"/>
        <v>1</v>
      </c>
      <c r="O19" s="129"/>
      <c r="P19" s="130"/>
    </row>
    <row r="20" spans="1:16" ht="15.5" x14ac:dyDescent="0.35">
      <c r="A20" s="64">
        <v>2024</v>
      </c>
      <c r="B20" s="64">
        <v>4</v>
      </c>
      <c r="C20" s="65">
        <v>45566</v>
      </c>
      <c r="D20" s="65">
        <v>45657</v>
      </c>
      <c r="E20" s="72"/>
      <c r="F20" s="73"/>
      <c r="G20" s="73">
        <f t="shared" si="14"/>
        <v>458467</v>
      </c>
      <c r="H20" s="73">
        <f t="shared" si="15"/>
        <v>458467</v>
      </c>
      <c r="I20" s="128">
        <f t="shared" si="9"/>
        <v>1</v>
      </c>
      <c r="J20" s="75"/>
      <c r="K20" s="77"/>
      <c r="L20" s="77">
        <f t="shared" si="19"/>
        <v>15000</v>
      </c>
      <c r="M20" s="77">
        <f t="shared" si="16"/>
        <v>15000</v>
      </c>
      <c r="N20" s="78">
        <f t="shared" si="17"/>
        <v>1</v>
      </c>
      <c r="O20" s="131"/>
      <c r="P20" s="130"/>
    </row>
    <row r="21" spans="1:16" ht="15.5" x14ac:dyDescent="0.35">
      <c r="A21" s="64">
        <v>2025</v>
      </c>
      <c r="B21" s="64">
        <v>1</v>
      </c>
      <c r="C21" s="65">
        <v>45658</v>
      </c>
      <c r="D21" s="65">
        <v>45747</v>
      </c>
      <c r="E21" s="72"/>
      <c r="F21" s="73"/>
      <c r="G21" s="73">
        <f t="shared" si="14"/>
        <v>458467</v>
      </c>
      <c r="H21" s="73">
        <f t="shared" si="15"/>
        <v>458467</v>
      </c>
      <c r="I21" s="128">
        <f t="shared" si="9"/>
        <v>1</v>
      </c>
      <c r="J21" s="75"/>
      <c r="K21" s="77"/>
      <c r="L21" s="77">
        <f t="shared" si="19"/>
        <v>15000</v>
      </c>
      <c r="M21" s="77">
        <f t="shared" si="16"/>
        <v>15000</v>
      </c>
      <c r="N21" s="78">
        <f t="shared" si="17"/>
        <v>1</v>
      </c>
      <c r="O21" s="131"/>
      <c r="P21" s="130"/>
    </row>
    <row r="22" spans="1:16" ht="15.5" x14ac:dyDescent="0.35">
      <c r="A22" s="64">
        <v>2025</v>
      </c>
      <c r="B22" s="64">
        <v>2</v>
      </c>
      <c r="C22" s="65">
        <v>45748</v>
      </c>
      <c r="D22" s="65">
        <v>45838</v>
      </c>
      <c r="E22" s="72"/>
      <c r="F22" s="73"/>
      <c r="G22" s="73">
        <f t="shared" si="14"/>
        <v>458467</v>
      </c>
      <c r="H22" s="73">
        <f t="shared" si="15"/>
        <v>458467</v>
      </c>
      <c r="I22" s="128">
        <f t="shared" si="9"/>
        <v>1</v>
      </c>
      <c r="J22" s="75"/>
      <c r="K22" s="77"/>
      <c r="L22" s="77">
        <f t="shared" si="19"/>
        <v>15000</v>
      </c>
      <c r="M22" s="77">
        <f t="shared" si="16"/>
        <v>15000</v>
      </c>
      <c r="N22" s="78">
        <f t="shared" si="17"/>
        <v>1</v>
      </c>
      <c r="O22" s="131"/>
      <c r="P22" s="130"/>
    </row>
    <row r="23" spans="1:16" ht="15.5" x14ac:dyDescent="0.35">
      <c r="A23" s="64">
        <v>2025</v>
      </c>
      <c r="B23" s="64">
        <v>3</v>
      </c>
      <c r="C23" s="65">
        <v>45839</v>
      </c>
      <c r="D23" s="65">
        <v>45930</v>
      </c>
      <c r="E23" s="72"/>
      <c r="F23" s="73"/>
      <c r="G23" s="73">
        <f t="shared" si="14"/>
        <v>458467</v>
      </c>
      <c r="H23" s="73">
        <f t="shared" si="15"/>
        <v>458467</v>
      </c>
      <c r="I23" s="128">
        <f t="shared" si="9"/>
        <v>1</v>
      </c>
      <c r="J23" s="75"/>
      <c r="K23" s="77"/>
      <c r="L23" s="77">
        <f t="shared" si="19"/>
        <v>15000</v>
      </c>
      <c r="M23" s="77">
        <f t="shared" si="16"/>
        <v>15000</v>
      </c>
      <c r="N23" s="78">
        <f t="shared" si="17"/>
        <v>1</v>
      </c>
      <c r="O23" s="131"/>
      <c r="P23" s="130"/>
    </row>
    <row r="24" spans="1:16" ht="15.5" x14ac:dyDescent="0.35">
      <c r="A24" s="64">
        <v>2025</v>
      </c>
      <c r="B24" s="64">
        <v>4</v>
      </c>
      <c r="C24" s="65">
        <v>45931</v>
      </c>
      <c r="D24" s="65">
        <v>46022</v>
      </c>
      <c r="E24" s="72"/>
      <c r="F24" s="73"/>
      <c r="G24" s="73">
        <f t="shared" si="14"/>
        <v>458467</v>
      </c>
      <c r="H24" s="73">
        <f t="shared" si="15"/>
        <v>458467</v>
      </c>
      <c r="I24" s="128">
        <f t="shared" si="9"/>
        <v>1</v>
      </c>
      <c r="J24" s="75"/>
      <c r="K24" s="77"/>
      <c r="L24" s="77">
        <f t="shared" si="19"/>
        <v>15000</v>
      </c>
      <c r="M24" s="77">
        <f t="shared" si="16"/>
        <v>15000</v>
      </c>
      <c r="N24" s="78">
        <f t="shared" si="17"/>
        <v>1</v>
      </c>
      <c r="O24" s="131"/>
      <c r="P24" s="130"/>
    </row>
    <row r="25" spans="1:16" ht="15.5" x14ac:dyDescent="0.35">
      <c r="A25" s="64">
        <v>2026</v>
      </c>
      <c r="B25" s="64">
        <v>1</v>
      </c>
      <c r="C25" s="65">
        <v>46023</v>
      </c>
      <c r="D25" s="65">
        <v>46112</v>
      </c>
      <c r="E25" s="72"/>
      <c r="F25" s="73"/>
      <c r="G25" s="73">
        <f t="shared" si="14"/>
        <v>458467</v>
      </c>
      <c r="H25" s="73">
        <f t="shared" si="15"/>
        <v>458467</v>
      </c>
      <c r="I25" s="128">
        <f>H25/G25</f>
        <v>1</v>
      </c>
      <c r="J25" s="75"/>
      <c r="K25" s="77"/>
      <c r="L25" s="77">
        <f t="shared" si="19"/>
        <v>15000</v>
      </c>
      <c r="M25" s="77">
        <f t="shared" si="16"/>
        <v>15000</v>
      </c>
      <c r="N25" s="78">
        <f t="shared" si="17"/>
        <v>1</v>
      </c>
      <c r="O25" s="131"/>
      <c r="P25" s="130"/>
    </row>
    <row r="26" spans="1:16" ht="15.5" x14ac:dyDescent="0.35">
      <c r="A26" s="64">
        <v>2026</v>
      </c>
      <c r="B26" s="64">
        <v>2</v>
      </c>
      <c r="C26" s="65">
        <v>46113</v>
      </c>
      <c r="D26" s="65">
        <v>46203</v>
      </c>
      <c r="E26" s="72"/>
      <c r="F26" s="73"/>
      <c r="G26" s="73">
        <f t="shared" si="14"/>
        <v>458467</v>
      </c>
      <c r="H26" s="73">
        <f t="shared" si="15"/>
        <v>458467</v>
      </c>
      <c r="I26" s="128">
        <f t="shared" ref="I26:I27" si="20">H26/G26</f>
        <v>1</v>
      </c>
      <c r="J26" s="75"/>
      <c r="K26" s="77"/>
      <c r="L26" s="77">
        <f t="shared" si="19"/>
        <v>15000</v>
      </c>
      <c r="M26" s="77">
        <f t="shared" si="16"/>
        <v>15000</v>
      </c>
      <c r="N26" s="78">
        <f t="shared" si="17"/>
        <v>1</v>
      </c>
      <c r="O26" s="131"/>
      <c r="P26" s="130"/>
    </row>
    <row r="27" spans="1:16" ht="15.5" x14ac:dyDescent="0.35">
      <c r="A27" s="64">
        <v>2026</v>
      </c>
      <c r="B27" s="64">
        <v>3</v>
      </c>
      <c r="C27" s="65">
        <v>46204</v>
      </c>
      <c r="D27" s="65">
        <v>46295</v>
      </c>
      <c r="E27" s="72"/>
      <c r="F27" s="73"/>
      <c r="G27" s="73">
        <f t="shared" si="14"/>
        <v>458467</v>
      </c>
      <c r="H27" s="73">
        <f>SUM(H26+F27)</f>
        <v>458467</v>
      </c>
      <c r="I27" s="128">
        <f t="shared" si="20"/>
        <v>1</v>
      </c>
      <c r="J27" s="75"/>
      <c r="K27" s="132"/>
      <c r="L27" s="132">
        <f t="shared" si="19"/>
        <v>15000</v>
      </c>
      <c r="M27" s="132">
        <f t="shared" si="16"/>
        <v>15000</v>
      </c>
      <c r="N27" s="78">
        <f t="shared" si="17"/>
        <v>1</v>
      </c>
      <c r="O27" s="131"/>
      <c r="P27" s="130"/>
    </row>
    <row r="28" spans="1:16" ht="15" thickBot="1" x14ac:dyDescent="0.4">
      <c r="A28" s="133" t="s">
        <v>12</v>
      </c>
      <c r="B28" s="133"/>
      <c r="C28" s="133"/>
      <c r="D28" s="134"/>
      <c r="E28" s="135">
        <v>458467</v>
      </c>
      <c r="F28" s="136">
        <f>SUM(F4:F27)</f>
        <v>458467</v>
      </c>
      <c r="G28" s="136">
        <f>G27</f>
        <v>458467</v>
      </c>
      <c r="H28" s="137">
        <f>H27</f>
        <v>458467</v>
      </c>
      <c r="I28" s="144">
        <f>H28/G28</f>
        <v>1</v>
      </c>
      <c r="J28" s="138">
        <v>15000</v>
      </c>
      <c r="K28" s="139">
        <f>SUM(K4:K27)</f>
        <v>15000</v>
      </c>
      <c r="L28" s="140">
        <f>L27</f>
        <v>15000</v>
      </c>
      <c r="M28" s="141">
        <f>M27</f>
        <v>15000</v>
      </c>
      <c r="N28" s="142">
        <f>M28/L28</f>
        <v>1</v>
      </c>
      <c r="O28" s="143">
        <f>SUM(O4:O27)</f>
        <v>2838</v>
      </c>
      <c r="P28" s="143">
        <f>SUM(P4:P27)</f>
        <v>2838</v>
      </c>
    </row>
    <row r="29" spans="1:16" ht="15" thickTop="1" x14ac:dyDescent="0.35">
      <c r="E29" s="162">
        <f>E28+J28</f>
        <v>473467</v>
      </c>
    </row>
    <row r="31" spans="1:16" x14ac:dyDescent="0.35">
      <c r="A31" s="216" t="s">
        <v>114</v>
      </c>
      <c r="B31" s="216"/>
      <c r="C31" s="216"/>
      <c r="D31" s="216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6"/>
      <c r="P31" s="216"/>
    </row>
    <row r="32" spans="1:16" ht="15" thickBot="1" x14ac:dyDescent="0.4">
      <c r="A32" s="202" t="s">
        <v>0</v>
      </c>
      <c r="B32" s="204"/>
      <c r="C32" s="204"/>
      <c r="D32" s="204"/>
      <c r="E32" s="193" t="s">
        <v>110</v>
      </c>
      <c r="F32" s="193"/>
      <c r="G32" s="193"/>
      <c r="H32" s="193"/>
      <c r="I32" s="194"/>
      <c r="J32" s="195" t="s">
        <v>111</v>
      </c>
      <c r="K32" s="196"/>
      <c r="L32" s="196"/>
      <c r="M32" s="196"/>
      <c r="N32" s="197"/>
      <c r="O32" s="12"/>
      <c r="P32" s="6"/>
    </row>
    <row r="33" spans="1:16" ht="58.5" thickTop="1" x14ac:dyDescent="0.35">
      <c r="A33" s="7" t="s">
        <v>1</v>
      </c>
      <c r="B33" s="7" t="s">
        <v>2</v>
      </c>
      <c r="C33" s="7" t="s">
        <v>3</v>
      </c>
      <c r="D33" s="9" t="s">
        <v>9</v>
      </c>
      <c r="E33" s="25" t="s">
        <v>4</v>
      </c>
      <c r="F33" s="20" t="s">
        <v>6</v>
      </c>
      <c r="G33" s="20" t="s">
        <v>5</v>
      </c>
      <c r="H33" s="20" t="s">
        <v>7</v>
      </c>
      <c r="I33" s="23" t="s">
        <v>8</v>
      </c>
      <c r="J33" s="25" t="s">
        <v>4</v>
      </c>
      <c r="K33" s="26" t="s">
        <v>6</v>
      </c>
      <c r="L33" s="26" t="s">
        <v>5</v>
      </c>
      <c r="M33" s="26" t="s">
        <v>7</v>
      </c>
      <c r="N33" s="27" t="s">
        <v>8</v>
      </c>
      <c r="O33" s="13" t="s">
        <v>112</v>
      </c>
      <c r="P33" s="8" t="s">
        <v>113</v>
      </c>
    </row>
    <row r="34" spans="1:16" ht="15.5" x14ac:dyDescent="0.35">
      <c r="A34" s="64">
        <v>2020</v>
      </c>
      <c r="B34" s="64">
        <v>4</v>
      </c>
      <c r="C34" s="65">
        <v>44105</v>
      </c>
      <c r="D34" s="65">
        <v>44196</v>
      </c>
      <c r="E34" s="66"/>
      <c r="F34" s="66"/>
      <c r="G34" s="66"/>
      <c r="H34" s="66"/>
      <c r="I34" s="67"/>
      <c r="J34" s="66"/>
      <c r="K34" s="66"/>
      <c r="L34" s="66"/>
      <c r="M34" s="66"/>
      <c r="N34" s="67"/>
      <c r="O34" s="68"/>
      <c r="P34" s="69"/>
    </row>
    <row r="35" spans="1:16" ht="15.5" x14ac:dyDescent="0.35">
      <c r="A35" s="64">
        <v>2021</v>
      </c>
      <c r="B35" s="64">
        <v>1</v>
      </c>
      <c r="C35" s="65">
        <v>44197</v>
      </c>
      <c r="D35" s="65">
        <v>44286</v>
      </c>
      <c r="E35" s="66"/>
      <c r="F35" s="66"/>
      <c r="G35" s="66"/>
      <c r="H35" s="66"/>
      <c r="I35" s="67"/>
      <c r="J35" s="66"/>
      <c r="K35" s="66"/>
      <c r="L35" s="66"/>
      <c r="M35" s="66"/>
      <c r="N35" s="67"/>
      <c r="O35" s="68"/>
      <c r="P35" s="69"/>
    </row>
    <row r="36" spans="1:16" ht="15.5" x14ac:dyDescent="0.35">
      <c r="A36" s="89">
        <v>2021</v>
      </c>
      <c r="B36" s="89">
        <v>2</v>
      </c>
      <c r="C36" s="90">
        <v>44287</v>
      </c>
      <c r="D36" s="90">
        <v>44377</v>
      </c>
      <c r="E36" s="100">
        <f>$E$58/8</f>
        <v>66553.625</v>
      </c>
      <c r="F36" s="92">
        <v>0</v>
      </c>
      <c r="G36" s="73">
        <f t="shared" ref="G36:G38" si="21">G35+E36</f>
        <v>66553.625</v>
      </c>
      <c r="H36" s="73">
        <f t="shared" ref="H36:H41" si="22">SUM(H35+F36)</f>
        <v>0</v>
      </c>
      <c r="I36" s="74">
        <f t="shared" ref="I36:I54" si="23">H36/G36</f>
        <v>0</v>
      </c>
      <c r="J36" s="102">
        <f>$J$58/8</f>
        <v>1875</v>
      </c>
      <c r="K36" s="103">
        <v>0</v>
      </c>
      <c r="L36" s="76">
        <f t="shared" ref="L36:L41" si="24">L35+J36</f>
        <v>1875</v>
      </c>
      <c r="M36" s="76">
        <f t="shared" ref="M36:M40" si="25">SUM(M35+K36)</f>
        <v>0</v>
      </c>
      <c r="N36" s="118">
        <f t="shared" ref="N36:N41" si="26">M36/L36</f>
        <v>0</v>
      </c>
      <c r="O36" s="109">
        <v>0</v>
      </c>
      <c r="P36" s="107">
        <v>0</v>
      </c>
    </row>
    <row r="37" spans="1:16" ht="15.5" x14ac:dyDescent="0.35">
      <c r="A37" s="64">
        <v>2021</v>
      </c>
      <c r="B37" s="64">
        <v>3</v>
      </c>
      <c r="C37" s="65">
        <v>44378</v>
      </c>
      <c r="D37" s="65">
        <v>44469</v>
      </c>
      <c r="E37" s="100">
        <f t="shared" ref="E37:E43" si="27">$E$58/8</f>
        <v>66553.625</v>
      </c>
      <c r="F37" s="73">
        <v>0</v>
      </c>
      <c r="G37" s="73">
        <f t="shared" si="21"/>
        <v>133107.25</v>
      </c>
      <c r="H37" s="73">
        <f t="shared" si="22"/>
        <v>0</v>
      </c>
      <c r="I37" s="74">
        <f t="shared" si="23"/>
        <v>0</v>
      </c>
      <c r="J37" s="102">
        <f t="shared" ref="J37:J43" si="28">$J$58/8</f>
        <v>1875</v>
      </c>
      <c r="K37" s="76">
        <v>0</v>
      </c>
      <c r="L37" s="76">
        <f t="shared" si="24"/>
        <v>3750</v>
      </c>
      <c r="M37" s="76">
        <f t="shared" si="25"/>
        <v>0</v>
      </c>
      <c r="N37" s="118">
        <f t="shared" si="26"/>
        <v>0</v>
      </c>
      <c r="O37" s="119">
        <v>0</v>
      </c>
      <c r="P37" s="68">
        <v>0</v>
      </c>
    </row>
    <row r="38" spans="1:16" ht="15.5" x14ac:dyDescent="0.35">
      <c r="A38" s="64">
        <v>2022</v>
      </c>
      <c r="B38" s="64">
        <v>4</v>
      </c>
      <c r="C38" s="65">
        <v>44470</v>
      </c>
      <c r="D38" s="65">
        <v>44561</v>
      </c>
      <c r="E38" s="100">
        <f t="shared" si="27"/>
        <v>66553.625</v>
      </c>
      <c r="F38" s="73">
        <v>0</v>
      </c>
      <c r="G38" s="73">
        <f t="shared" si="21"/>
        <v>199660.875</v>
      </c>
      <c r="H38" s="73">
        <f t="shared" si="22"/>
        <v>0</v>
      </c>
      <c r="I38" s="74">
        <f t="shared" si="23"/>
        <v>0</v>
      </c>
      <c r="J38" s="102">
        <f t="shared" si="28"/>
        <v>1875</v>
      </c>
      <c r="K38" s="76">
        <v>0</v>
      </c>
      <c r="L38" s="76">
        <f t="shared" si="24"/>
        <v>5625</v>
      </c>
      <c r="M38" s="76">
        <f t="shared" si="25"/>
        <v>0</v>
      </c>
      <c r="N38" s="118">
        <f t="shared" si="26"/>
        <v>0</v>
      </c>
      <c r="O38" s="119">
        <v>0</v>
      </c>
      <c r="P38" s="68">
        <v>0</v>
      </c>
    </row>
    <row r="39" spans="1:16" ht="15.5" x14ac:dyDescent="0.35">
      <c r="A39" s="64">
        <v>2022</v>
      </c>
      <c r="B39" s="64">
        <v>1</v>
      </c>
      <c r="C39" s="65">
        <v>44562</v>
      </c>
      <c r="D39" s="65">
        <v>44651</v>
      </c>
      <c r="E39" s="100">
        <f t="shared" si="27"/>
        <v>66553.625</v>
      </c>
      <c r="F39" s="73">
        <v>290502</v>
      </c>
      <c r="G39" s="73">
        <f>G38+E39</f>
        <v>266214.5</v>
      </c>
      <c r="H39" s="73">
        <f t="shared" si="22"/>
        <v>290502</v>
      </c>
      <c r="I39" s="74">
        <f t="shared" si="23"/>
        <v>1.0912328216532157</v>
      </c>
      <c r="J39" s="102">
        <f t="shared" si="28"/>
        <v>1875</v>
      </c>
      <c r="K39" s="76">
        <v>10000</v>
      </c>
      <c r="L39" s="76">
        <f t="shared" si="24"/>
        <v>7500</v>
      </c>
      <c r="M39" s="76">
        <f t="shared" si="25"/>
        <v>10000</v>
      </c>
      <c r="N39" s="118">
        <f t="shared" si="26"/>
        <v>1.3333333333333333</v>
      </c>
      <c r="O39" s="119">
        <v>0</v>
      </c>
      <c r="P39" s="68">
        <v>0</v>
      </c>
    </row>
    <row r="40" spans="1:16" ht="15.5" x14ac:dyDescent="0.35">
      <c r="A40" s="64">
        <v>2022</v>
      </c>
      <c r="B40" s="64">
        <v>2</v>
      </c>
      <c r="C40" s="65">
        <v>44652</v>
      </c>
      <c r="D40" s="65">
        <v>44742</v>
      </c>
      <c r="E40" s="100">
        <f t="shared" si="27"/>
        <v>66553.625</v>
      </c>
      <c r="F40" s="73">
        <v>180660</v>
      </c>
      <c r="G40" s="73">
        <f t="shared" ref="G40:G41" si="29">G39+E40</f>
        <v>332768.125</v>
      </c>
      <c r="H40" s="73">
        <f t="shared" si="22"/>
        <v>471162</v>
      </c>
      <c r="I40" s="74">
        <f t="shared" si="23"/>
        <v>1.4158868130774245</v>
      </c>
      <c r="J40" s="102">
        <f t="shared" si="28"/>
        <v>1875</v>
      </c>
      <c r="K40" s="76">
        <v>0</v>
      </c>
      <c r="L40" s="76">
        <f t="shared" si="24"/>
        <v>9375</v>
      </c>
      <c r="M40" s="76">
        <f t="shared" si="25"/>
        <v>10000</v>
      </c>
      <c r="N40" s="118">
        <f t="shared" si="26"/>
        <v>1.0666666666666667</v>
      </c>
      <c r="O40" s="119">
        <v>0</v>
      </c>
      <c r="P40" s="68">
        <v>0</v>
      </c>
    </row>
    <row r="41" spans="1:16" ht="15.5" x14ac:dyDescent="0.35">
      <c r="A41" s="64">
        <v>2022</v>
      </c>
      <c r="B41" s="64">
        <v>3</v>
      </c>
      <c r="C41" s="65">
        <v>44743</v>
      </c>
      <c r="D41" s="65">
        <v>44834</v>
      </c>
      <c r="E41" s="100">
        <f t="shared" si="27"/>
        <v>66553.625</v>
      </c>
      <c r="F41" s="73">
        <v>61267</v>
      </c>
      <c r="G41" s="73">
        <f t="shared" si="29"/>
        <v>399321.75</v>
      </c>
      <c r="H41" s="73">
        <f t="shared" si="22"/>
        <v>532429</v>
      </c>
      <c r="I41" s="74">
        <f t="shared" si="23"/>
        <v>1.3333333333333333</v>
      </c>
      <c r="J41" s="102">
        <f t="shared" si="28"/>
        <v>1875</v>
      </c>
      <c r="K41" s="76">
        <v>5000</v>
      </c>
      <c r="L41" s="76">
        <f t="shared" si="24"/>
        <v>11250</v>
      </c>
      <c r="M41" s="76">
        <f>SUM(M40+K41)</f>
        <v>15000</v>
      </c>
      <c r="N41" s="118">
        <f t="shared" si="26"/>
        <v>1.3333333333333333</v>
      </c>
      <c r="O41" s="119">
        <v>0</v>
      </c>
      <c r="P41" s="68">
        <v>0</v>
      </c>
    </row>
    <row r="42" spans="1:16" ht="15.5" x14ac:dyDescent="0.35">
      <c r="A42" s="64">
        <v>2022</v>
      </c>
      <c r="B42" s="64">
        <v>4</v>
      </c>
      <c r="C42" s="65">
        <v>44835</v>
      </c>
      <c r="D42" s="65">
        <v>44926</v>
      </c>
      <c r="E42" s="100">
        <f t="shared" si="27"/>
        <v>66553.625</v>
      </c>
      <c r="F42" s="73">
        <v>0</v>
      </c>
      <c r="G42" s="73">
        <f>G41+E42</f>
        <v>465875.375</v>
      </c>
      <c r="H42" s="73">
        <f>SUM(H41+F42)</f>
        <v>532429</v>
      </c>
      <c r="I42" s="74">
        <f t="shared" si="23"/>
        <v>1.1428571428571428</v>
      </c>
      <c r="J42" s="102">
        <f t="shared" si="28"/>
        <v>1875</v>
      </c>
      <c r="K42" s="76">
        <v>0</v>
      </c>
      <c r="L42" s="76">
        <f>L41+J42</f>
        <v>13125</v>
      </c>
      <c r="M42" s="76">
        <f>SUM(M41+K42)</f>
        <v>15000</v>
      </c>
      <c r="N42" s="118">
        <f>M42/L42</f>
        <v>1.1428571428571428</v>
      </c>
      <c r="O42" s="119">
        <v>0</v>
      </c>
      <c r="P42" s="68">
        <v>0</v>
      </c>
    </row>
    <row r="43" spans="1:16" ht="15.5" x14ac:dyDescent="0.35">
      <c r="A43" s="64">
        <v>2023</v>
      </c>
      <c r="B43" s="64">
        <v>1</v>
      </c>
      <c r="C43" s="65">
        <v>44927</v>
      </c>
      <c r="D43" s="65">
        <v>45016</v>
      </c>
      <c r="E43" s="100">
        <f t="shared" si="27"/>
        <v>66553.625</v>
      </c>
      <c r="F43" s="73">
        <v>0</v>
      </c>
      <c r="G43" s="73">
        <f t="shared" ref="G43:G57" si="30">G42+E43</f>
        <v>532429</v>
      </c>
      <c r="H43" s="73">
        <f t="shared" ref="H43:H56" si="31">SUM(H42+F43)</f>
        <v>532429</v>
      </c>
      <c r="I43" s="74">
        <f t="shared" si="23"/>
        <v>1</v>
      </c>
      <c r="J43" s="102">
        <f t="shared" si="28"/>
        <v>1875</v>
      </c>
      <c r="K43" s="76">
        <v>0</v>
      </c>
      <c r="L43" s="76">
        <f>L42+J43</f>
        <v>15000</v>
      </c>
      <c r="M43" s="76">
        <f t="shared" ref="M43:M57" si="32">SUM(M42+K43)</f>
        <v>15000</v>
      </c>
      <c r="N43" s="118">
        <f t="shared" ref="N43:N57" si="33">M43/L43</f>
        <v>1</v>
      </c>
      <c r="O43" s="119">
        <v>1187</v>
      </c>
      <c r="P43" s="68">
        <v>1187</v>
      </c>
    </row>
    <row r="44" spans="1:16" ht="15.5" x14ac:dyDescent="0.35">
      <c r="A44" s="64">
        <v>2023</v>
      </c>
      <c r="B44" s="64">
        <v>2</v>
      </c>
      <c r="C44" s="65">
        <v>45017</v>
      </c>
      <c r="D44" s="65">
        <v>45107</v>
      </c>
      <c r="E44" s="100"/>
      <c r="F44" s="73"/>
      <c r="G44" s="73">
        <f t="shared" si="30"/>
        <v>532429</v>
      </c>
      <c r="H44" s="73">
        <f t="shared" si="31"/>
        <v>532429</v>
      </c>
      <c r="I44" s="74">
        <f t="shared" si="23"/>
        <v>1</v>
      </c>
      <c r="J44" s="102"/>
      <c r="K44" s="76"/>
      <c r="L44" s="76">
        <f t="shared" ref="L44" si="34">L43+J44</f>
        <v>15000</v>
      </c>
      <c r="M44" s="76">
        <f t="shared" si="32"/>
        <v>15000</v>
      </c>
      <c r="N44" s="118">
        <f t="shared" si="33"/>
        <v>1</v>
      </c>
      <c r="O44" s="119"/>
      <c r="P44" s="68"/>
    </row>
    <row r="45" spans="1:16" ht="15.5" x14ac:dyDescent="0.35">
      <c r="A45" s="64">
        <v>2023</v>
      </c>
      <c r="B45" s="64">
        <v>3</v>
      </c>
      <c r="C45" s="65">
        <v>45108</v>
      </c>
      <c r="D45" s="65">
        <v>45199</v>
      </c>
      <c r="E45" s="100"/>
      <c r="F45" s="73"/>
      <c r="G45" s="73">
        <f t="shared" si="30"/>
        <v>532429</v>
      </c>
      <c r="H45" s="73">
        <f t="shared" si="31"/>
        <v>532429</v>
      </c>
      <c r="I45" s="74">
        <f t="shared" si="23"/>
        <v>1</v>
      </c>
      <c r="J45" s="102"/>
      <c r="K45" s="76"/>
      <c r="L45" s="76">
        <f>L44+J45</f>
        <v>15000</v>
      </c>
      <c r="M45" s="76">
        <f t="shared" si="32"/>
        <v>15000</v>
      </c>
      <c r="N45" s="118">
        <f t="shared" si="33"/>
        <v>1</v>
      </c>
      <c r="O45" s="119"/>
      <c r="P45" s="68"/>
    </row>
    <row r="46" spans="1:16" ht="15.5" x14ac:dyDescent="0.35">
      <c r="A46" s="64">
        <v>2023</v>
      </c>
      <c r="B46" s="64">
        <v>4</v>
      </c>
      <c r="C46" s="65">
        <v>45200</v>
      </c>
      <c r="D46" s="65">
        <v>45291</v>
      </c>
      <c r="E46" s="72"/>
      <c r="F46" s="73"/>
      <c r="G46" s="73">
        <f t="shared" si="30"/>
        <v>532429</v>
      </c>
      <c r="H46" s="73">
        <f t="shared" si="31"/>
        <v>532429</v>
      </c>
      <c r="I46" s="74">
        <f t="shared" si="23"/>
        <v>1</v>
      </c>
      <c r="J46" s="75"/>
      <c r="K46" s="76"/>
      <c r="L46" s="76">
        <f t="shared" ref="L46:L57" si="35">L45+J46</f>
        <v>15000</v>
      </c>
      <c r="M46" s="76">
        <f t="shared" si="32"/>
        <v>15000</v>
      </c>
      <c r="N46" s="118">
        <f t="shared" si="33"/>
        <v>1</v>
      </c>
      <c r="O46" s="119"/>
      <c r="P46" s="68"/>
    </row>
    <row r="47" spans="1:16" ht="15.5" x14ac:dyDescent="0.35">
      <c r="A47" s="64">
        <v>2024</v>
      </c>
      <c r="B47" s="64">
        <v>1</v>
      </c>
      <c r="C47" s="65">
        <v>45292</v>
      </c>
      <c r="D47" s="65">
        <v>45382</v>
      </c>
      <c r="E47" s="72"/>
      <c r="F47" s="73"/>
      <c r="G47" s="73">
        <f t="shared" si="30"/>
        <v>532429</v>
      </c>
      <c r="H47" s="73">
        <f t="shared" si="31"/>
        <v>532429</v>
      </c>
      <c r="I47" s="74">
        <f t="shared" si="23"/>
        <v>1</v>
      </c>
      <c r="J47" s="75"/>
      <c r="K47" s="76"/>
      <c r="L47" s="76">
        <f t="shared" si="35"/>
        <v>15000</v>
      </c>
      <c r="M47" s="76">
        <f t="shared" si="32"/>
        <v>15000</v>
      </c>
      <c r="N47" s="118">
        <f t="shared" si="33"/>
        <v>1</v>
      </c>
      <c r="O47" s="119"/>
      <c r="P47" s="68"/>
    </row>
    <row r="48" spans="1:16" ht="15.5" x14ac:dyDescent="0.35">
      <c r="A48" s="64">
        <v>2024</v>
      </c>
      <c r="B48" s="64">
        <v>2</v>
      </c>
      <c r="C48" s="65">
        <v>45383</v>
      </c>
      <c r="D48" s="65">
        <v>45473</v>
      </c>
      <c r="E48" s="72"/>
      <c r="F48" s="73"/>
      <c r="G48" s="73">
        <f t="shared" si="30"/>
        <v>532429</v>
      </c>
      <c r="H48" s="73">
        <f t="shared" si="31"/>
        <v>532429</v>
      </c>
      <c r="I48" s="74">
        <f t="shared" si="23"/>
        <v>1</v>
      </c>
      <c r="J48" s="75"/>
      <c r="K48" s="76"/>
      <c r="L48" s="76">
        <f t="shared" si="35"/>
        <v>15000</v>
      </c>
      <c r="M48" s="76">
        <f t="shared" si="32"/>
        <v>15000</v>
      </c>
      <c r="N48" s="118">
        <f t="shared" si="33"/>
        <v>1</v>
      </c>
      <c r="O48" s="119"/>
      <c r="P48" s="68"/>
    </row>
    <row r="49" spans="1:16" ht="15.5" x14ac:dyDescent="0.35">
      <c r="A49" s="64">
        <v>2024</v>
      </c>
      <c r="B49" s="64">
        <v>3</v>
      </c>
      <c r="C49" s="65">
        <v>45474</v>
      </c>
      <c r="D49" s="65">
        <v>45565</v>
      </c>
      <c r="E49" s="72"/>
      <c r="F49" s="73"/>
      <c r="G49" s="73">
        <f t="shared" si="30"/>
        <v>532429</v>
      </c>
      <c r="H49" s="73">
        <f t="shared" si="31"/>
        <v>532429</v>
      </c>
      <c r="I49" s="128">
        <f t="shared" si="23"/>
        <v>1</v>
      </c>
      <c r="J49" s="75"/>
      <c r="K49" s="77"/>
      <c r="L49" s="77">
        <f t="shared" si="35"/>
        <v>15000</v>
      </c>
      <c r="M49" s="77">
        <f t="shared" si="32"/>
        <v>15000</v>
      </c>
      <c r="N49" s="78">
        <f t="shared" si="33"/>
        <v>1</v>
      </c>
      <c r="O49" s="129"/>
      <c r="P49" s="130"/>
    </row>
    <row r="50" spans="1:16" ht="15.5" x14ac:dyDescent="0.35">
      <c r="A50" s="64">
        <v>2024</v>
      </c>
      <c r="B50" s="64">
        <v>4</v>
      </c>
      <c r="C50" s="65">
        <v>45566</v>
      </c>
      <c r="D50" s="65">
        <v>45657</v>
      </c>
      <c r="E50" s="72"/>
      <c r="F50" s="73"/>
      <c r="G50" s="73">
        <f t="shared" si="30"/>
        <v>532429</v>
      </c>
      <c r="H50" s="73">
        <f t="shared" si="31"/>
        <v>532429</v>
      </c>
      <c r="I50" s="128">
        <f t="shared" si="23"/>
        <v>1</v>
      </c>
      <c r="J50" s="75"/>
      <c r="K50" s="77"/>
      <c r="L50" s="77">
        <f t="shared" si="35"/>
        <v>15000</v>
      </c>
      <c r="M50" s="77">
        <f t="shared" si="32"/>
        <v>15000</v>
      </c>
      <c r="N50" s="78">
        <f t="shared" si="33"/>
        <v>1</v>
      </c>
      <c r="O50" s="131"/>
      <c r="P50" s="130"/>
    </row>
    <row r="51" spans="1:16" ht="15.5" x14ac:dyDescent="0.35">
      <c r="A51" s="64">
        <v>2025</v>
      </c>
      <c r="B51" s="64">
        <v>1</v>
      </c>
      <c r="C51" s="65">
        <v>45658</v>
      </c>
      <c r="D51" s="65">
        <v>45747</v>
      </c>
      <c r="E51" s="72"/>
      <c r="F51" s="73"/>
      <c r="G51" s="73">
        <f t="shared" si="30"/>
        <v>532429</v>
      </c>
      <c r="H51" s="73">
        <f t="shared" si="31"/>
        <v>532429</v>
      </c>
      <c r="I51" s="128">
        <f t="shared" si="23"/>
        <v>1</v>
      </c>
      <c r="J51" s="75"/>
      <c r="K51" s="77"/>
      <c r="L51" s="77">
        <f t="shared" si="35"/>
        <v>15000</v>
      </c>
      <c r="M51" s="77">
        <f t="shared" si="32"/>
        <v>15000</v>
      </c>
      <c r="N51" s="78">
        <f t="shared" si="33"/>
        <v>1</v>
      </c>
      <c r="O51" s="131"/>
      <c r="P51" s="130"/>
    </row>
    <row r="52" spans="1:16" ht="15.5" x14ac:dyDescent="0.35">
      <c r="A52" s="64">
        <v>2025</v>
      </c>
      <c r="B52" s="64">
        <v>2</v>
      </c>
      <c r="C52" s="65">
        <v>45748</v>
      </c>
      <c r="D52" s="65">
        <v>45838</v>
      </c>
      <c r="E52" s="72"/>
      <c r="F52" s="73"/>
      <c r="G52" s="73">
        <f t="shared" si="30"/>
        <v>532429</v>
      </c>
      <c r="H52" s="73">
        <f t="shared" si="31"/>
        <v>532429</v>
      </c>
      <c r="I52" s="128">
        <f t="shared" si="23"/>
        <v>1</v>
      </c>
      <c r="J52" s="75"/>
      <c r="K52" s="77"/>
      <c r="L52" s="77">
        <f t="shared" si="35"/>
        <v>15000</v>
      </c>
      <c r="M52" s="77">
        <f t="shared" si="32"/>
        <v>15000</v>
      </c>
      <c r="N52" s="78">
        <f t="shared" si="33"/>
        <v>1</v>
      </c>
      <c r="O52" s="131"/>
      <c r="P52" s="130"/>
    </row>
    <row r="53" spans="1:16" ht="15.5" x14ac:dyDescent="0.35">
      <c r="A53" s="64">
        <v>2025</v>
      </c>
      <c r="B53" s="64">
        <v>3</v>
      </c>
      <c r="C53" s="65">
        <v>45839</v>
      </c>
      <c r="D53" s="65">
        <v>45930</v>
      </c>
      <c r="E53" s="72"/>
      <c r="F53" s="73"/>
      <c r="G53" s="73">
        <f t="shared" si="30"/>
        <v>532429</v>
      </c>
      <c r="H53" s="73">
        <f t="shared" si="31"/>
        <v>532429</v>
      </c>
      <c r="I53" s="128">
        <f t="shared" si="23"/>
        <v>1</v>
      </c>
      <c r="J53" s="75"/>
      <c r="K53" s="77"/>
      <c r="L53" s="77">
        <f t="shared" si="35"/>
        <v>15000</v>
      </c>
      <c r="M53" s="77">
        <f t="shared" si="32"/>
        <v>15000</v>
      </c>
      <c r="N53" s="78">
        <f t="shared" si="33"/>
        <v>1</v>
      </c>
      <c r="O53" s="131"/>
      <c r="P53" s="130"/>
    </row>
    <row r="54" spans="1:16" ht="15.5" x14ac:dyDescent="0.35">
      <c r="A54" s="64">
        <v>2025</v>
      </c>
      <c r="B54" s="64">
        <v>4</v>
      </c>
      <c r="C54" s="65">
        <v>45931</v>
      </c>
      <c r="D54" s="65">
        <v>46022</v>
      </c>
      <c r="E54" s="72"/>
      <c r="F54" s="73"/>
      <c r="G54" s="73">
        <f t="shared" si="30"/>
        <v>532429</v>
      </c>
      <c r="H54" s="73">
        <f t="shared" si="31"/>
        <v>532429</v>
      </c>
      <c r="I54" s="128">
        <f t="shared" si="23"/>
        <v>1</v>
      </c>
      <c r="J54" s="75"/>
      <c r="K54" s="77"/>
      <c r="L54" s="77">
        <f t="shared" si="35"/>
        <v>15000</v>
      </c>
      <c r="M54" s="77">
        <f t="shared" si="32"/>
        <v>15000</v>
      </c>
      <c r="N54" s="78">
        <f t="shared" si="33"/>
        <v>1</v>
      </c>
      <c r="O54" s="131"/>
      <c r="P54" s="130"/>
    </row>
    <row r="55" spans="1:16" ht="15.5" x14ac:dyDescent="0.35">
      <c r="A55" s="64">
        <v>2026</v>
      </c>
      <c r="B55" s="64">
        <v>1</v>
      </c>
      <c r="C55" s="65">
        <v>46023</v>
      </c>
      <c r="D55" s="65">
        <v>46112</v>
      </c>
      <c r="E55" s="72"/>
      <c r="F55" s="73"/>
      <c r="G55" s="73">
        <f t="shared" si="30"/>
        <v>532429</v>
      </c>
      <c r="H55" s="73">
        <f t="shared" si="31"/>
        <v>532429</v>
      </c>
      <c r="I55" s="128">
        <f>H55/G55</f>
        <v>1</v>
      </c>
      <c r="J55" s="75"/>
      <c r="K55" s="77"/>
      <c r="L55" s="77">
        <f t="shared" si="35"/>
        <v>15000</v>
      </c>
      <c r="M55" s="77">
        <f t="shared" si="32"/>
        <v>15000</v>
      </c>
      <c r="N55" s="78">
        <f t="shared" si="33"/>
        <v>1</v>
      </c>
      <c r="O55" s="131"/>
      <c r="P55" s="130"/>
    </row>
    <row r="56" spans="1:16" ht="15.5" x14ac:dyDescent="0.35">
      <c r="A56" s="64">
        <v>2026</v>
      </c>
      <c r="B56" s="64">
        <v>2</v>
      </c>
      <c r="C56" s="65">
        <v>46113</v>
      </c>
      <c r="D56" s="65">
        <v>46203</v>
      </c>
      <c r="E56" s="72"/>
      <c r="F56" s="73"/>
      <c r="G56" s="73">
        <f t="shared" si="30"/>
        <v>532429</v>
      </c>
      <c r="H56" s="73">
        <f t="shared" si="31"/>
        <v>532429</v>
      </c>
      <c r="I56" s="128">
        <f t="shared" ref="I56:I57" si="36">H56/G56</f>
        <v>1</v>
      </c>
      <c r="J56" s="75"/>
      <c r="K56" s="77"/>
      <c r="L56" s="77">
        <f t="shared" si="35"/>
        <v>15000</v>
      </c>
      <c r="M56" s="77">
        <f t="shared" si="32"/>
        <v>15000</v>
      </c>
      <c r="N56" s="78">
        <f t="shared" si="33"/>
        <v>1</v>
      </c>
      <c r="O56" s="131"/>
      <c r="P56" s="130"/>
    </row>
    <row r="57" spans="1:16" ht="15.5" x14ac:dyDescent="0.35">
      <c r="A57" s="64">
        <v>2026</v>
      </c>
      <c r="B57" s="64">
        <v>3</v>
      </c>
      <c r="C57" s="65">
        <v>46204</v>
      </c>
      <c r="D57" s="65">
        <v>46295</v>
      </c>
      <c r="E57" s="72"/>
      <c r="F57" s="73"/>
      <c r="G57" s="73">
        <f t="shared" si="30"/>
        <v>532429</v>
      </c>
      <c r="H57" s="73">
        <f>SUM(H56+F57)</f>
        <v>532429</v>
      </c>
      <c r="I57" s="128">
        <f t="shared" si="36"/>
        <v>1</v>
      </c>
      <c r="J57" s="75"/>
      <c r="K57" s="132"/>
      <c r="L57" s="132">
        <f t="shared" si="35"/>
        <v>15000</v>
      </c>
      <c r="M57" s="132">
        <f t="shared" si="32"/>
        <v>15000</v>
      </c>
      <c r="N57" s="78">
        <f t="shared" si="33"/>
        <v>1</v>
      </c>
      <c r="O57" s="131"/>
      <c r="P57" s="130"/>
    </row>
    <row r="58" spans="1:16" ht="15" thickBot="1" x14ac:dyDescent="0.4">
      <c r="A58" s="133" t="s">
        <v>12</v>
      </c>
      <c r="B58" s="133"/>
      <c r="C58" s="133"/>
      <c r="D58" s="134"/>
      <c r="E58" s="135">
        <v>532429</v>
      </c>
      <c r="F58" s="136">
        <f>SUM(F34:F57)</f>
        <v>532429</v>
      </c>
      <c r="G58" s="136">
        <f>G57</f>
        <v>532429</v>
      </c>
      <c r="H58" s="137">
        <f>H57</f>
        <v>532429</v>
      </c>
      <c r="I58" s="144">
        <f>H58/G58</f>
        <v>1</v>
      </c>
      <c r="J58" s="138">
        <v>15000</v>
      </c>
      <c r="K58" s="139">
        <f>SUM(K34:K57)</f>
        <v>15000</v>
      </c>
      <c r="L58" s="140">
        <f>L57</f>
        <v>15000</v>
      </c>
      <c r="M58" s="141">
        <f>M57</f>
        <v>15000</v>
      </c>
      <c r="N58" s="142">
        <f>M58/L58</f>
        <v>1</v>
      </c>
      <c r="O58" s="143">
        <f>SUM(O34:O57)</f>
        <v>1187</v>
      </c>
      <c r="P58" s="143">
        <f>SUM(P34:P57)</f>
        <v>1187</v>
      </c>
    </row>
    <row r="59" spans="1:16" ht="15" thickTop="1" x14ac:dyDescent="0.35">
      <c r="E59" s="162">
        <f>E58+J58</f>
        <v>547429</v>
      </c>
    </row>
    <row r="61" spans="1:16" x14ac:dyDescent="0.35">
      <c r="A61" s="218" t="s">
        <v>115</v>
      </c>
      <c r="B61" s="218"/>
      <c r="C61" s="218"/>
      <c r="D61" s="218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8"/>
      <c r="P61" s="218"/>
    </row>
    <row r="62" spans="1:16" ht="15" thickBot="1" x14ac:dyDescent="0.4">
      <c r="A62" s="202" t="s">
        <v>0</v>
      </c>
      <c r="B62" s="204"/>
      <c r="C62" s="204"/>
      <c r="D62" s="204"/>
      <c r="E62" s="193" t="s">
        <v>110</v>
      </c>
      <c r="F62" s="193"/>
      <c r="G62" s="193"/>
      <c r="H62" s="193"/>
      <c r="I62" s="194"/>
      <c r="J62" s="195" t="s">
        <v>111</v>
      </c>
      <c r="K62" s="196"/>
      <c r="L62" s="196"/>
      <c r="M62" s="196"/>
      <c r="N62" s="197"/>
      <c r="O62" s="12"/>
      <c r="P62" s="6"/>
    </row>
    <row r="63" spans="1:16" ht="58.5" thickTop="1" x14ac:dyDescent="0.35">
      <c r="A63" s="7" t="s">
        <v>1</v>
      </c>
      <c r="B63" s="7" t="s">
        <v>2</v>
      </c>
      <c r="C63" s="7" t="s">
        <v>3</v>
      </c>
      <c r="D63" s="9" t="s">
        <v>9</v>
      </c>
      <c r="E63" s="25" t="s">
        <v>4</v>
      </c>
      <c r="F63" s="20" t="s">
        <v>6</v>
      </c>
      <c r="G63" s="20" t="s">
        <v>5</v>
      </c>
      <c r="H63" s="20" t="s">
        <v>7</v>
      </c>
      <c r="I63" s="23" t="s">
        <v>8</v>
      </c>
      <c r="J63" s="25" t="s">
        <v>4</v>
      </c>
      <c r="K63" s="26" t="s">
        <v>6</v>
      </c>
      <c r="L63" s="26" t="s">
        <v>5</v>
      </c>
      <c r="M63" s="26" t="s">
        <v>7</v>
      </c>
      <c r="N63" s="27" t="s">
        <v>8</v>
      </c>
      <c r="O63" s="13" t="s">
        <v>112</v>
      </c>
      <c r="P63" s="8" t="s">
        <v>113</v>
      </c>
    </row>
    <row r="64" spans="1:16" ht="15.5" x14ac:dyDescent="0.35">
      <c r="A64" s="64">
        <v>2020</v>
      </c>
      <c r="B64" s="64">
        <v>4</v>
      </c>
      <c r="C64" s="65">
        <v>44105</v>
      </c>
      <c r="D64" s="65">
        <v>44196</v>
      </c>
      <c r="E64" s="66"/>
      <c r="F64" s="66"/>
      <c r="G64" s="66"/>
      <c r="H64" s="66"/>
      <c r="I64" s="67"/>
      <c r="J64" s="66"/>
      <c r="K64" s="66"/>
      <c r="L64" s="66"/>
      <c r="M64" s="66"/>
      <c r="N64" s="67"/>
      <c r="O64" s="68"/>
      <c r="P64" s="69"/>
    </row>
    <row r="65" spans="1:16" ht="15.5" x14ac:dyDescent="0.35">
      <c r="A65" s="64">
        <v>2021</v>
      </c>
      <c r="B65" s="64">
        <v>1</v>
      </c>
      <c r="C65" s="65">
        <v>44197</v>
      </c>
      <c r="D65" s="65">
        <v>44286</v>
      </c>
      <c r="E65" s="66"/>
      <c r="F65" s="66"/>
      <c r="G65" s="66"/>
      <c r="H65" s="66"/>
      <c r="I65" s="67"/>
      <c r="J65" s="66"/>
      <c r="K65" s="66"/>
      <c r="L65" s="66"/>
      <c r="M65" s="66"/>
      <c r="N65" s="67"/>
      <c r="O65" s="68"/>
      <c r="P65" s="69"/>
    </row>
    <row r="66" spans="1:16" ht="15.5" x14ac:dyDescent="0.35">
      <c r="A66" s="89">
        <v>2021</v>
      </c>
      <c r="B66" s="89">
        <v>2</v>
      </c>
      <c r="C66" s="90">
        <v>44287</v>
      </c>
      <c r="D66" s="90">
        <v>44377</v>
      </c>
      <c r="E66" s="100"/>
      <c r="F66" s="92"/>
      <c r="G66" s="73"/>
      <c r="H66" s="73"/>
      <c r="I66" s="74"/>
      <c r="J66" s="102"/>
      <c r="K66" s="103"/>
      <c r="L66" s="76"/>
      <c r="M66" s="76"/>
      <c r="N66" s="118"/>
      <c r="O66" s="109"/>
      <c r="P66" s="107"/>
    </row>
    <row r="67" spans="1:16" ht="15.5" x14ac:dyDescent="0.35">
      <c r="A67" s="64">
        <v>2021</v>
      </c>
      <c r="B67" s="64">
        <v>3</v>
      </c>
      <c r="C67" s="65">
        <v>44378</v>
      </c>
      <c r="D67" s="65">
        <v>44469</v>
      </c>
      <c r="E67" s="100"/>
      <c r="F67" s="73"/>
      <c r="G67" s="73"/>
      <c r="H67" s="73"/>
      <c r="I67" s="74"/>
      <c r="J67" s="102"/>
      <c r="K67" s="76"/>
      <c r="L67" s="76"/>
      <c r="M67" s="76"/>
      <c r="N67" s="118"/>
      <c r="O67" s="119"/>
      <c r="P67" s="68"/>
    </row>
    <row r="68" spans="1:16" ht="15.5" x14ac:dyDescent="0.35">
      <c r="A68" s="64">
        <v>2022</v>
      </c>
      <c r="B68" s="64">
        <v>4</v>
      </c>
      <c r="C68" s="65">
        <v>44470</v>
      </c>
      <c r="D68" s="65">
        <v>44561</v>
      </c>
      <c r="E68" s="100"/>
      <c r="F68" s="73"/>
      <c r="G68" s="73"/>
      <c r="H68" s="73"/>
      <c r="I68" s="74"/>
      <c r="J68" s="102"/>
      <c r="K68" s="76"/>
      <c r="L68" s="76"/>
      <c r="M68" s="76"/>
      <c r="N68" s="118"/>
      <c r="O68" s="119"/>
      <c r="P68" s="68"/>
    </row>
    <row r="69" spans="1:16" ht="15.5" x14ac:dyDescent="0.35">
      <c r="A69" s="64">
        <v>2022</v>
      </c>
      <c r="B69" s="64">
        <v>1</v>
      </c>
      <c r="C69" s="65">
        <v>44562</v>
      </c>
      <c r="D69" s="65">
        <v>44651</v>
      </c>
      <c r="E69" s="100">
        <f>$E$88/10</f>
        <v>166529.79999999999</v>
      </c>
      <c r="F69" s="73">
        <v>0</v>
      </c>
      <c r="G69" s="73">
        <f>G68+E69</f>
        <v>166529.79999999999</v>
      </c>
      <c r="H69" s="73">
        <f t="shared" ref="H69:H71" si="37">SUM(H68+F69)</f>
        <v>0</v>
      </c>
      <c r="I69" s="74">
        <f t="shared" ref="I69:I84" si="38">H69/G69</f>
        <v>0</v>
      </c>
      <c r="J69" s="102">
        <f>$J$88/10</f>
        <v>1500</v>
      </c>
      <c r="K69" s="76">
        <v>0</v>
      </c>
      <c r="L69" s="76">
        <f t="shared" ref="L69:L71" si="39">L68+J69</f>
        <v>1500</v>
      </c>
      <c r="M69" s="76">
        <f t="shared" ref="M69:M70" si="40">SUM(M68+K69)</f>
        <v>0</v>
      </c>
      <c r="N69" s="118">
        <f t="shared" ref="N69:N71" si="41">M69/L69</f>
        <v>0</v>
      </c>
      <c r="O69" s="119">
        <v>0</v>
      </c>
      <c r="P69" s="68">
        <v>0</v>
      </c>
    </row>
    <row r="70" spans="1:16" ht="15.5" x14ac:dyDescent="0.35">
      <c r="A70" s="64">
        <v>2022</v>
      </c>
      <c r="B70" s="64">
        <v>2</v>
      </c>
      <c r="C70" s="65">
        <v>44652</v>
      </c>
      <c r="D70" s="65">
        <v>44742</v>
      </c>
      <c r="E70" s="100">
        <f t="shared" ref="E70:E78" si="42">$E$88/10</f>
        <v>166529.79999999999</v>
      </c>
      <c r="F70" s="73">
        <v>0</v>
      </c>
      <c r="G70" s="73">
        <f t="shared" ref="G70:G71" si="43">G69+E70</f>
        <v>333059.59999999998</v>
      </c>
      <c r="H70" s="73">
        <f t="shared" si="37"/>
        <v>0</v>
      </c>
      <c r="I70" s="74">
        <f t="shared" si="38"/>
        <v>0</v>
      </c>
      <c r="J70" s="102">
        <f t="shared" ref="J70:J78" si="44">$J$88/10</f>
        <v>1500</v>
      </c>
      <c r="K70" s="76">
        <v>5000</v>
      </c>
      <c r="L70" s="76">
        <f t="shared" si="39"/>
        <v>3000</v>
      </c>
      <c r="M70" s="76">
        <f t="shared" si="40"/>
        <v>5000</v>
      </c>
      <c r="N70" s="118">
        <f t="shared" si="41"/>
        <v>1.6666666666666667</v>
      </c>
      <c r="O70" s="119">
        <v>0</v>
      </c>
      <c r="P70" s="68">
        <v>0</v>
      </c>
    </row>
    <row r="71" spans="1:16" ht="15.5" x14ac:dyDescent="0.35">
      <c r="A71" s="64">
        <v>2022</v>
      </c>
      <c r="B71" s="64">
        <v>3</v>
      </c>
      <c r="C71" s="65">
        <v>44743</v>
      </c>
      <c r="D71" s="65">
        <v>44834</v>
      </c>
      <c r="E71" s="100">
        <f t="shared" si="42"/>
        <v>166529.79999999999</v>
      </c>
      <c r="F71" s="73">
        <v>56060</v>
      </c>
      <c r="G71" s="73">
        <f t="shared" si="43"/>
        <v>499589.39999999997</v>
      </c>
      <c r="H71" s="73">
        <f t="shared" si="37"/>
        <v>56060</v>
      </c>
      <c r="I71" s="74">
        <f t="shared" si="38"/>
        <v>0.11221214861644384</v>
      </c>
      <c r="J71" s="102">
        <f t="shared" si="44"/>
        <v>1500</v>
      </c>
      <c r="K71" s="76">
        <v>0</v>
      </c>
      <c r="L71" s="76">
        <f t="shared" si="39"/>
        <v>4500</v>
      </c>
      <c r="M71" s="76">
        <f>SUM(M70+K71)</f>
        <v>5000</v>
      </c>
      <c r="N71" s="118">
        <f t="shared" si="41"/>
        <v>1.1111111111111112</v>
      </c>
      <c r="O71" s="119">
        <v>0</v>
      </c>
      <c r="P71" s="68">
        <v>0</v>
      </c>
    </row>
    <row r="72" spans="1:16" ht="15.5" x14ac:dyDescent="0.35">
      <c r="A72" s="64">
        <v>2022</v>
      </c>
      <c r="B72" s="64">
        <v>4</v>
      </c>
      <c r="C72" s="65">
        <v>44835</v>
      </c>
      <c r="D72" s="65">
        <v>44926</v>
      </c>
      <c r="E72" s="100">
        <f t="shared" si="42"/>
        <v>166529.79999999999</v>
      </c>
      <c r="F72" s="73">
        <v>0</v>
      </c>
      <c r="G72" s="73">
        <f>G71+E72</f>
        <v>666119.19999999995</v>
      </c>
      <c r="H72" s="73">
        <f>SUM(H71+F72)</f>
        <v>56060</v>
      </c>
      <c r="I72" s="74">
        <f t="shared" si="38"/>
        <v>8.4159111462332875E-2</v>
      </c>
      <c r="J72" s="102">
        <f t="shared" si="44"/>
        <v>1500</v>
      </c>
      <c r="K72" s="76">
        <v>0</v>
      </c>
      <c r="L72" s="76">
        <f>L71+J72</f>
        <v>6000</v>
      </c>
      <c r="M72" s="76">
        <f>SUM(M71+K72)</f>
        <v>5000</v>
      </c>
      <c r="N72" s="118">
        <f>M72/L72</f>
        <v>0.83333333333333337</v>
      </c>
      <c r="O72" s="119">
        <v>0</v>
      </c>
      <c r="P72" s="68">
        <v>0</v>
      </c>
    </row>
    <row r="73" spans="1:16" ht="15.5" x14ac:dyDescent="0.35">
      <c r="A73" s="64">
        <v>2023</v>
      </c>
      <c r="B73" s="64">
        <v>1</v>
      </c>
      <c r="C73" s="65">
        <v>44927</v>
      </c>
      <c r="D73" s="65">
        <v>45016</v>
      </c>
      <c r="E73" s="100">
        <f t="shared" si="42"/>
        <v>166529.79999999999</v>
      </c>
      <c r="F73" s="73">
        <v>0</v>
      </c>
      <c r="G73" s="73">
        <f t="shared" ref="G73:G87" si="45">G72+E73</f>
        <v>832649</v>
      </c>
      <c r="H73" s="73">
        <f t="shared" ref="H73:H86" si="46">SUM(H72+F73)</f>
        <v>56060</v>
      </c>
      <c r="I73" s="74">
        <f t="shared" si="38"/>
        <v>6.73272891698663E-2</v>
      </c>
      <c r="J73" s="102">
        <f t="shared" si="44"/>
        <v>1500</v>
      </c>
      <c r="K73" s="76">
        <v>0</v>
      </c>
      <c r="L73" s="76">
        <f>L72+J73</f>
        <v>7500</v>
      </c>
      <c r="M73" s="76">
        <f t="shared" ref="M73:M87" si="47">SUM(M72+K73)</f>
        <v>5000</v>
      </c>
      <c r="N73" s="118">
        <f t="shared" ref="N73:N87" si="48">M73/L73</f>
        <v>0.66666666666666663</v>
      </c>
      <c r="O73" s="119">
        <v>0</v>
      </c>
      <c r="P73" s="68">
        <v>0</v>
      </c>
    </row>
    <row r="74" spans="1:16" ht="15.5" x14ac:dyDescent="0.35">
      <c r="A74" s="64">
        <v>2023</v>
      </c>
      <c r="B74" s="64">
        <v>2</v>
      </c>
      <c r="C74" s="65">
        <v>45017</v>
      </c>
      <c r="D74" s="65">
        <v>45107</v>
      </c>
      <c r="E74" s="100">
        <f t="shared" si="42"/>
        <v>166529.79999999999</v>
      </c>
      <c r="F74" s="73">
        <v>0</v>
      </c>
      <c r="G74" s="73">
        <f t="shared" si="45"/>
        <v>999178.8</v>
      </c>
      <c r="H74" s="73">
        <f t="shared" si="46"/>
        <v>56060</v>
      </c>
      <c r="I74" s="74">
        <f t="shared" si="38"/>
        <v>5.6106074308221912E-2</v>
      </c>
      <c r="J74" s="102">
        <f t="shared" si="44"/>
        <v>1500</v>
      </c>
      <c r="K74" s="76">
        <v>0</v>
      </c>
      <c r="L74" s="76">
        <f t="shared" ref="L74" si="49">L73+J74</f>
        <v>9000</v>
      </c>
      <c r="M74" s="76">
        <f t="shared" si="47"/>
        <v>5000</v>
      </c>
      <c r="N74" s="118">
        <f t="shared" si="48"/>
        <v>0.55555555555555558</v>
      </c>
      <c r="O74" s="119">
        <v>0</v>
      </c>
      <c r="P74" s="68">
        <v>0</v>
      </c>
    </row>
    <row r="75" spans="1:16" ht="15.5" x14ac:dyDescent="0.35">
      <c r="A75" s="64">
        <v>2023</v>
      </c>
      <c r="B75" s="64">
        <v>3</v>
      </c>
      <c r="C75" s="65">
        <v>45108</v>
      </c>
      <c r="D75" s="65">
        <v>45199</v>
      </c>
      <c r="E75" s="100">
        <f t="shared" si="42"/>
        <v>166529.79999999999</v>
      </c>
      <c r="F75" s="73">
        <v>648264.11</v>
      </c>
      <c r="G75" s="73">
        <f t="shared" si="45"/>
        <v>1165708.6000000001</v>
      </c>
      <c r="H75" s="73">
        <f t="shared" si="46"/>
        <v>704324.11</v>
      </c>
      <c r="I75" s="74">
        <f t="shared" si="38"/>
        <v>0.60420255113499199</v>
      </c>
      <c r="J75" s="102">
        <f t="shared" si="44"/>
        <v>1500</v>
      </c>
      <c r="K75" s="76">
        <v>1711.5</v>
      </c>
      <c r="L75" s="76">
        <f>L74+J75</f>
        <v>10500</v>
      </c>
      <c r="M75" s="76">
        <f t="shared" si="47"/>
        <v>6711.5</v>
      </c>
      <c r="N75" s="118">
        <f t="shared" si="48"/>
        <v>0.6391904761904762</v>
      </c>
      <c r="O75" s="119">
        <v>0</v>
      </c>
      <c r="P75" s="68">
        <v>0</v>
      </c>
    </row>
    <row r="76" spans="1:16" ht="15.5" x14ac:dyDescent="0.35">
      <c r="A76" s="64">
        <v>2023</v>
      </c>
      <c r="B76" s="64">
        <v>4</v>
      </c>
      <c r="C76" s="65">
        <v>45200</v>
      </c>
      <c r="D76" s="65">
        <v>45291</v>
      </c>
      <c r="E76" s="100">
        <f t="shared" si="42"/>
        <v>166529.79999999999</v>
      </c>
      <c r="F76" s="73">
        <v>764181.54</v>
      </c>
      <c r="G76" s="73">
        <f t="shared" si="45"/>
        <v>1332238.4000000001</v>
      </c>
      <c r="H76" s="73">
        <f t="shared" si="46"/>
        <v>1468505.65</v>
      </c>
      <c r="I76" s="74">
        <f t="shared" si="38"/>
        <v>1.102284433476771</v>
      </c>
      <c r="J76" s="102">
        <f t="shared" si="44"/>
        <v>1500</v>
      </c>
      <c r="K76" s="76">
        <v>5024.3100000000004</v>
      </c>
      <c r="L76" s="76">
        <f t="shared" ref="L76:L87" si="50">L75+J76</f>
        <v>12000</v>
      </c>
      <c r="M76" s="76">
        <f t="shared" si="47"/>
        <v>11735.810000000001</v>
      </c>
      <c r="N76" s="118">
        <f t="shared" si="48"/>
        <v>0.97798416666666677</v>
      </c>
      <c r="O76" s="119">
        <v>0</v>
      </c>
      <c r="P76" s="68">
        <v>0</v>
      </c>
    </row>
    <row r="77" spans="1:16" ht="15.5" x14ac:dyDescent="0.35">
      <c r="A77" s="64">
        <v>2024</v>
      </c>
      <c r="B77" s="64">
        <v>1</v>
      </c>
      <c r="C77" s="65">
        <v>45292</v>
      </c>
      <c r="D77" s="65">
        <v>45382</v>
      </c>
      <c r="E77" s="72">
        <f t="shared" si="42"/>
        <v>166529.79999999999</v>
      </c>
      <c r="F77" s="73">
        <v>30262.55</v>
      </c>
      <c r="G77" s="73">
        <f t="shared" si="45"/>
        <v>1498768.2000000002</v>
      </c>
      <c r="H77" s="73">
        <f t="shared" si="46"/>
        <v>1498768.2</v>
      </c>
      <c r="I77" s="74">
        <f t="shared" si="38"/>
        <v>0.99999999999999989</v>
      </c>
      <c r="J77" s="75">
        <f t="shared" si="44"/>
        <v>1500</v>
      </c>
      <c r="K77" s="76">
        <v>23.81</v>
      </c>
      <c r="L77" s="76">
        <f t="shared" si="50"/>
        <v>13500</v>
      </c>
      <c r="M77" s="76">
        <f t="shared" si="47"/>
        <v>11759.62</v>
      </c>
      <c r="N77" s="118">
        <f t="shared" si="48"/>
        <v>0.87108296296296306</v>
      </c>
      <c r="O77" s="119">
        <v>0</v>
      </c>
      <c r="P77" s="68">
        <v>0</v>
      </c>
    </row>
    <row r="78" spans="1:16" ht="15.5" x14ac:dyDescent="0.35">
      <c r="A78" s="64">
        <v>2024</v>
      </c>
      <c r="B78" s="64">
        <v>2</v>
      </c>
      <c r="C78" s="65">
        <v>45383</v>
      </c>
      <c r="D78" s="65">
        <v>45473</v>
      </c>
      <c r="E78" s="72">
        <f t="shared" si="42"/>
        <v>166529.79999999999</v>
      </c>
      <c r="F78" s="73">
        <v>166529.79999999999</v>
      </c>
      <c r="G78" s="73">
        <f t="shared" si="45"/>
        <v>1665298.0000000002</v>
      </c>
      <c r="H78" s="73">
        <f t="shared" si="46"/>
        <v>1665298</v>
      </c>
      <c r="I78" s="74">
        <f t="shared" si="38"/>
        <v>0.99999999999999989</v>
      </c>
      <c r="J78" s="75">
        <f t="shared" si="44"/>
        <v>1500</v>
      </c>
      <c r="K78" s="76">
        <v>3240.38</v>
      </c>
      <c r="L78" s="76">
        <f t="shared" si="50"/>
        <v>15000</v>
      </c>
      <c r="M78" s="76">
        <f t="shared" si="47"/>
        <v>15000</v>
      </c>
      <c r="N78" s="118">
        <f t="shared" si="48"/>
        <v>1</v>
      </c>
      <c r="O78" s="119">
        <v>283</v>
      </c>
      <c r="P78" s="68">
        <v>238</v>
      </c>
    </row>
    <row r="79" spans="1:16" ht="15.5" x14ac:dyDescent="0.35">
      <c r="A79" s="64">
        <v>2024</v>
      </c>
      <c r="B79" s="64">
        <v>3</v>
      </c>
      <c r="C79" s="65">
        <v>45474</v>
      </c>
      <c r="D79" s="65">
        <v>45565</v>
      </c>
      <c r="E79" s="72"/>
      <c r="F79" s="73"/>
      <c r="G79" s="73">
        <f t="shared" si="45"/>
        <v>1665298.0000000002</v>
      </c>
      <c r="H79" s="73">
        <f t="shared" si="46"/>
        <v>1665298</v>
      </c>
      <c r="I79" s="128">
        <f t="shared" si="38"/>
        <v>0.99999999999999989</v>
      </c>
      <c r="J79" s="75"/>
      <c r="K79" s="77"/>
      <c r="L79" s="77">
        <f t="shared" si="50"/>
        <v>15000</v>
      </c>
      <c r="M79" s="77">
        <f t="shared" si="47"/>
        <v>15000</v>
      </c>
      <c r="N79" s="78">
        <f t="shared" si="48"/>
        <v>1</v>
      </c>
      <c r="O79" s="129"/>
      <c r="P79" s="130"/>
    </row>
    <row r="80" spans="1:16" ht="15.5" x14ac:dyDescent="0.35">
      <c r="A80" s="64">
        <v>2024</v>
      </c>
      <c r="B80" s="64">
        <v>4</v>
      </c>
      <c r="C80" s="65">
        <v>45566</v>
      </c>
      <c r="D80" s="65">
        <v>45657</v>
      </c>
      <c r="E80" s="72"/>
      <c r="F80" s="73"/>
      <c r="G80" s="73">
        <f t="shared" si="45"/>
        <v>1665298.0000000002</v>
      </c>
      <c r="H80" s="73">
        <f t="shared" si="46"/>
        <v>1665298</v>
      </c>
      <c r="I80" s="128">
        <f t="shared" si="38"/>
        <v>0.99999999999999989</v>
      </c>
      <c r="J80" s="75"/>
      <c r="K80" s="77"/>
      <c r="L80" s="77">
        <f t="shared" si="50"/>
        <v>15000</v>
      </c>
      <c r="M80" s="77">
        <f t="shared" si="47"/>
        <v>15000</v>
      </c>
      <c r="N80" s="78">
        <f t="shared" si="48"/>
        <v>1</v>
      </c>
      <c r="O80" s="131"/>
      <c r="P80" s="130"/>
    </row>
    <row r="81" spans="1:16" ht="15.5" x14ac:dyDescent="0.35">
      <c r="A81" s="64">
        <v>2025</v>
      </c>
      <c r="B81" s="64">
        <v>1</v>
      </c>
      <c r="C81" s="65">
        <v>45658</v>
      </c>
      <c r="D81" s="65">
        <v>45747</v>
      </c>
      <c r="E81" s="72"/>
      <c r="F81" s="73"/>
      <c r="G81" s="73">
        <f t="shared" si="45"/>
        <v>1665298.0000000002</v>
      </c>
      <c r="H81" s="73">
        <f t="shared" si="46"/>
        <v>1665298</v>
      </c>
      <c r="I81" s="128">
        <f t="shared" si="38"/>
        <v>0.99999999999999989</v>
      </c>
      <c r="J81" s="75"/>
      <c r="K81" s="77"/>
      <c r="L81" s="77">
        <f t="shared" si="50"/>
        <v>15000</v>
      </c>
      <c r="M81" s="77">
        <f t="shared" si="47"/>
        <v>15000</v>
      </c>
      <c r="N81" s="78">
        <f t="shared" si="48"/>
        <v>1</v>
      </c>
      <c r="O81" s="131"/>
      <c r="P81" s="130"/>
    </row>
    <row r="82" spans="1:16" ht="15.5" x14ac:dyDescent="0.35">
      <c r="A82" s="64">
        <v>2025</v>
      </c>
      <c r="B82" s="64">
        <v>2</v>
      </c>
      <c r="C82" s="65">
        <v>45748</v>
      </c>
      <c r="D82" s="65">
        <v>45838</v>
      </c>
      <c r="E82" s="72"/>
      <c r="F82" s="73"/>
      <c r="G82" s="73">
        <f t="shared" si="45"/>
        <v>1665298.0000000002</v>
      </c>
      <c r="H82" s="73">
        <f t="shared" si="46"/>
        <v>1665298</v>
      </c>
      <c r="I82" s="128">
        <f t="shared" si="38"/>
        <v>0.99999999999999989</v>
      </c>
      <c r="J82" s="75"/>
      <c r="K82" s="77"/>
      <c r="L82" s="77">
        <f t="shared" si="50"/>
        <v>15000</v>
      </c>
      <c r="M82" s="77">
        <f t="shared" si="47"/>
        <v>15000</v>
      </c>
      <c r="N82" s="78">
        <f t="shared" si="48"/>
        <v>1</v>
      </c>
      <c r="O82" s="131"/>
      <c r="P82" s="130"/>
    </row>
    <row r="83" spans="1:16" ht="15.5" x14ac:dyDescent="0.35">
      <c r="A83" s="64">
        <v>2025</v>
      </c>
      <c r="B83" s="64">
        <v>3</v>
      </c>
      <c r="C83" s="65">
        <v>45839</v>
      </c>
      <c r="D83" s="65">
        <v>45930</v>
      </c>
      <c r="E83" s="72"/>
      <c r="F83" s="73"/>
      <c r="G83" s="73">
        <f t="shared" si="45"/>
        <v>1665298.0000000002</v>
      </c>
      <c r="H83" s="73">
        <f t="shared" si="46"/>
        <v>1665298</v>
      </c>
      <c r="I83" s="128">
        <f t="shared" si="38"/>
        <v>0.99999999999999989</v>
      </c>
      <c r="J83" s="75"/>
      <c r="K83" s="77"/>
      <c r="L83" s="77">
        <f t="shared" si="50"/>
        <v>15000</v>
      </c>
      <c r="M83" s="77">
        <f t="shared" si="47"/>
        <v>15000</v>
      </c>
      <c r="N83" s="78">
        <f t="shared" si="48"/>
        <v>1</v>
      </c>
      <c r="O83" s="131"/>
      <c r="P83" s="130"/>
    </row>
    <row r="84" spans="1:16" ht="15.5" x14ac:dyDescent="0.35">
      <c r="A84" s="64">
        <v>2025</v>
      </c>
      <c r="B84" s="64">
        <v>4</v>
      </c>
      <c r="C84" s="65">
        <v>45931</v>
      </c>
      <c r="D84" s="65">
        <v>46022</v>
      </c>
      <c r="E84" s="72"/>
      <c r="F84" s="73"/>
      <c r="G84" s="73">
        <f t="shared" si="45"/>
        <v>1665298.0000000002</v>
      </c>
      <c r="H84" s="73">
        <f t="shared" si="46"/>
        <v>1665298</v>
      </c>
      <c r="I84" s="128">
        <f t="shared" si="38"/>
        <v>0.99999999999999989</v>
      </c>
      <c r="J84" s="75"/>
      <c r="K84" s="77"/>
      <c r="L84" s="77">
        <f t="shared" si="50"/>
        <v>15000</v>
      </c>
      <c r="M84" s="77">
        <f t="shared" si="47"/>
        <v>15000</v>
      </c>
      <c r="N84" s="78">
        <f t="shared" si="48"/>
        <v>1</v>
      </c>
      <c r="O84" s="131"/>
      <c r="P84" s="130"/>
    </row>
    <row r="85" spans="1:16" ht="15.5" x14ac:dyDescent="0.35">
      <c r="A85" s="64">
        <v>2026</v>
      </c>
      <c r="B85" s="64">
        <v>1</v>
      </c>
      <c r="C85" s="65">
        <v>46023</v>
      </c>
      <c r="D85" s="65">
        <v>46112</v>
      </c>
      <c r="E85" s="72"/>
      <c r="F85" s="73"/>
      <c r="G85" s="73">
        <f t="shared" si="45"/>
        <v>1665298.0000000002</v>
      </c>
      <c r="H85" s="73">
        <f t="shared" si="46"/>
        <v>1665298</v>
      </c>
      <c r="I85" s="128">
        <f>H85/G85</f>
        <v>0.99999999999999989</v>
      </c>
      <c r="J85" s="75"/>
      <c r="K85" s="77"/>
      <c r="L85" s="77">
        <f t="shared" si="50"/>
        <v>15000</v>
      </c>
      <c r="M85" s="77">
        <f t="shared" si="47"/>
        <v>15000</v>
      </c>
      <c r="N85" s="78">
        <f t="shared" si="48"/>
        <v>1</v>
      </c>
      <c r="O85" s="131"/>
      <c r="P85" s="130"/>
    </row>
    <row r="86" spans="1:16" ht="15.5" x14ac:dyDescent="0.35">
      <c r="A86" s="64">
        <v>2026</v>
      </c>
      <c r="B86" s="64">
        <v>2</v>
      </c>
      <c r="C86" s="65">
        <v>46113</v>
      </c>
      <c r="D86" s="65">
        <v>46203</v>
      </c>
      <c r="E86" s="72"/>
      <c r="F86" s="73"/>
      <c r="G86" s="73">
        <f t="shared" si="45"/>
        <v>1665298.0000000002</v>
      </c>
      <c r="H86" s="73">
        <f t="shared" si="46"/>
        <v>1665298</v>
      </c>
      <c r="I86" s="128">
        <f t="shared" ref="I86:I87" si="51">H86/G86</f>
        <v>0.99999999999999989</v>
      </c>
      <c r="J86" s="75"/>
      <c r="K86" s="77"/>
      <c r="L86" s="77">
        <f t="shared" si="50"/>
        <v>15000</v>
      </c>
      <c r="M86" s="77">
        <f t="shared" si="47"/>
        <v>15000</v>
      </c>
      <c r="N86" s="78">
        <f t="shared" si="48"/>
        <v>1</v>
      </c>
      <c r="O86" s="131"/>
      <c r="P86" s="130"/>
    </row>
    <row r="87" spans="1:16" ht="15.5" x14ac:dyDescent="0.35">
      <c r="A87" s="64">
        <v>2026</v>
      </c>
      <c r="B87" s="64">
        <v>3</v>
      </c>
      <c r="C87" s="65">
        <v>46204</v>
      </c>
      <c r="D87" s="65">
        <v>46295</v>
      </c>
      <c r="E87" s="72"/>
      <c r="F87" s="73"/>
      <c r="G87" s="73">
        <f t="shared" si="45"/>
        <v>1665298.0000000002</v>
      </c>
      <c r="H87" s="73">
        <f>SUM(H86+F87)</f>
        <v>1665298</v>
      </c>
      <c r="I87" s="128">
        <f t="shared" si="51"/>
        <v>0.99999999999999989</v>
      </c>
      <c r="J87" s="75"/>
      <c r="K87" s="132"/>
      <c r="L87" s="132">
        <f t="shared" si="50"/>
        <v>15000</v>
      </c>
      <c r="M87" s="132">
        <f t="shared" si="47"/>
        <v>15000</v>
      </c>
      <c r="N87" s="78">
        <f t="shared" si="48"/>
        <v>1</v>
      </c>
      <c r="O87" s="131"/>
      <c r="P87" s="130"/>
    </row>
    <row r="88" spans="1:16" ht="15" thickBot="1" x14ac:dyDescent="0.4">
      <c r="A88" s="133" t="s">
        <v>12</v>
      </c>
      <c r="B88" s="133"/>
      <c r="C88" s="133"/>
      <c r="D88" s="134"/>
      <c r="E88" s="135">
        <f>1498768.2+166529.8</f>
        <v>1665298</v>
      </c>
      <c r="F88" s="136">
        <f>SUM(F64:F87)</f>
        <v>1665298</v>
      </c>
      <c r="G88" s="136">
        <f>G87</f>
        <v>1665298.0000000002</v>
      </c>
      <c r="H88" s="137">
        <f>H87</f>
        <v>1665298</v>
      </c>
      <c r="I88" s="144">
        <f>H88/G88</f>
        <v>0.99999999999999989</v>
      </c>
      <c r="J88" s="138">
        <v>15000</v>
      </c>
      <c r="K88" s="139">
        <f>SUM(K64:K87)</f>
        <v>15000</v>
      </c>
      <c r="L88" s="140">
        <f>L87</f>
        <v>15000</v>
      </c>
      <c r="M88" s="141">
        <f>M87</f>
        <v>15000</v>
      </c>
      <c r="N88" s="142">
        <f>M88/L88</f>
        <v>1</v>
      </c>
      <c r="O88" s="143">
        <f>SUM(O64:O87)</f>
        <v>283</v>
      </c>
      <c r="P88" s="143">
        <f>SUM(P64:P87)</f>
        <v>238</v>
      </c>
    </row>
    <row r="89" spans="1:16" ht="15" thickTop="1" x14ac:dyDescent="0.35">
      <c r="E89" s="162">
        <f>E88+J88</f>
        <v>1680298</v>
      </c>
    </row>
    <row r="91" spans="1:16" x14ac:dyDescent="0.35">
      <c r="A91" s="218" t="s">
        <v>116</v>
      </c>
      <c r="B91" s="218"/>
      <c r="C91" s="218"/>
      <c r="D91" s="218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8"/>
      <c r="P91" s="218"/>
    </row>
    <row r="92" spans="1:16" ht="15" thickBot="1" x14ac:dyDescent="0.4">
      <c r="A92" s="202" t="s">
        <v>0</v>
      </c>
      <c r="B92" s="204"/>
      <c r="C92" s="204"/>
      <c r="D92" s="204"/>
      <c r="E92" s="193" t="s">
        <v>110</v>
      </c>
      <c r="F92" s="193"/>
      <c r="G92" s="193"/>
      <c r="H92" s="193"/>
      <c r="I92" s="194"/>
      <c r="J92" s="195" t="s">
        <v>111</v>
      </c>
      <c r="K92" s="196"/>
      <c r="L92" s="196"/>
      <c r="M92" s="196"/>
      <c r="N92" s="197"/>
      <c r="O92" s="12"/>
      <c r="P92" s="6"/>
    </row>
    <row r="93" spans="1:16" ht="58.5" thickTop="1" x14ac:dyDescent="0.35">
      <c r="A93" s="7" t="s">
        <v>1</v>
      </c>
      <c r="B93" s="7" t="s">
        <v>2</v>
      </c>
      <c r="C93" s="7" t="s">
        <v>3</v>
      </c>
      <c r="D93" s="9" t="s">
        <v>9</v>
      </c>
      <c r="E93" s="25" t="s">
        <v>4</v>
      </c>
      <c r="F93" s="20" t="s">
        <v>6</v>
      </c>
      <c r="G93" s="20" t="s">
        <v>5</v>
      </c>
      <c r="H93" s="20" t="s">
        <v>7</v>
      </c>
      <c r="I93" s="23" t="s">
        <v>8</v>
      </c>
      <c r="J93" s="25" t="s">
        <v>4</v>
      </c>
      <c r="K93" s="26" t="s">
        <v>6</v>
      </c>
      <c r="L93" s="26" t="s">
        <v>5</v>
      </c>
      <c r="M93" s="26" t="s">
        <v>7</v>
      </c>
      <c r="N93" s="27" t="s">
        <v>8</v>
      </c>
      <c r="O93" s="13" t="s">
        <v>112</v>
      </c>
      <c r="P93" s="8" t="s">
        <v>113</v>
      </c>
    </row>
    <row r="94" spans="1:16" ht="15.5" x14ac:dyDescent="0.35">
      <c r="A94" s="64">
        <v>2020</v>
      </c>
      <c r="B94" s="64">
        <v>4</v>
      </c>
      <c r="C94" s="65">
        <v>44105</v>
      </c>
      <c r="D94" s="65">
        <v>44196</v>
      </c>
      <c r="E94" s="66"/>
      <c r="F94" s="66"/>
      <c r="G94" s="66"/>
      <c r="H94" s="66"/>
      <c r="I94" s="67"/>
      <c r="J94" s="66"/>
      <c r="K94" s="66"/>
      <c r="L94" s="66"/>
      <c r="M94" s="66"/>
      <c r="N94" s="67"/>
      <c r="O94" s="68"/>
      <c r="P94" s="69"/>
    </row>
    <row r="95" spans="1:16" ht="15.5" x14ac:dyDescent="0.35">
      <c r="A95" s="64">
        <v>2021</v>
      </c>
      <c r="B95" s="64">
        <v>1</v>
      </c>
      <c r="C95" s="65">
        <v>44197</v>
      </c>
      <c r="D95" s="65">
        <v>44286</v>
      </c>
      <c r="E95" s="66"/>
      <c r="F95" s="66"/>
      <c r="G95" s="66"/>
      <c r="H95" s="66"/>
      <c r="I95" s="67"/>
      <c r="J95" s="66"/>
      <c r="K95" s="66"/>
      <c r="L95" s="66"/>
      <c r="M95" s="66"/>
      <c r="N95" s="67"/>
      <c r="O95" s="68"/>
      <c r="P95" s="69"/>
    </row>
    <row r="96" spans="1:16" ht="15.5" x14ac:dyDescent="0.35">
      <c r="A96" s="89">
        <v>2021</v>
      </c>
      <c r="B96" s="89">
        <v>2</v>
      </c>
      <c r="C96" s="90">
        <v>44287</v>
      </c>
      <c r="D96" s="90">
        <v>44377</v>
      </c>
      <c r="E96" s="100"/>
      <c r="F96" s="92"/>
      <c r="G96" s="73"/>
      <c r="H96" s="73"/>
      <c r="I96" s="74"/>
      <c r="J96" s="102"/>
      <c r="K96" s="103"/>
      <c r="L96" s="76"/>
      <c r="M96" s="76"/>
      <c r="N96" s="118"/>
      <c r="O96" s="109"/>
      <c r="P96" s="107"/>
    </row>
    <row r="97" spans="1:16" ht="15.5" x14ac:dyDescent="0.35">
      <c r="A97" s="64">
        <v>2021</v>
      </c>
      <c r="B97" s="64">
        <v>3</v>
      </c>
      <c r="C97" s="65">
        <v>44378</v>
      </c>
      <c r="D97" s="65">
        <v>44469</v>
      </c>
      <c r="E97" s="100"/>
      <c r="F97" s="73"/>
      <c r="G97" s="73"/>
      <c r="H97" s="73"/>
      <c r="I97" s="74"/>
      <c r="J97" s="102"/>
      <c r="K97" s="76"/>
      <c r="L97" s="76"/>
      <c r="M97" s="76"/>
      <c r="N97" s="118"/>
      <c r="O97" s="119"/>
      <c r="P97" s="68"/>
    </row>
    <row r="98" spans="1:16" ht="15.5" x14ac:dyDescent="0.35">
      <c r="A98" s="64">
        <v>2022</v>
      </c>
      <c r="B98" s="64">
        <v>4</v>
      </c>
      <c r="C98" s="65">
        <v>44470</v>
      </c>
      <c r="D98" s="65">
        <v>44561</v>
      </c>
      <c r="E98" s="100"/>
      <c r="F98" s="73"/>
      <c r="G98" s="73"/>
      <c r="H98" s="73"/>
      <c r="I98" s="74"/>
      <c r="J98" s="102"/>
      <c r="K98" s="76"/>
      <c r="L98" s="76"/>
      <c r="M98" s="76"/>
      <c r="N98" s="118"/>
      <c r="O98" s="119"/>
      <c r="P98" s="68"/>
    </row>
    <row r="99" spans="1:16" ht="15.5" x14ac:dyDescent="0.35">
      <c r="A99" s="64">
        <v>2022</v>
      </c>
      <c r="B99" s="64">
        <v>1</v>
      </c>
      <c r="C99" s="65">
        <v>44562</v>
      </c>
      <c r="D99" s="65">
        <v>44651</v>
      </c>
      <c r="E99" s="100"/>
      <c r="F99" s="73"/>
      <c r="G99" s="73"/>
      <c r="H99" s="73"/>
      <c r="I99" s="74"/>
      <c r="J99" s="102"/>
      <c r="K99" s="76"/>
      <c r="L99" s="76"/>
      <c r="M99" s="76"/>
      <c r="N99" s="118"/>
      <c r="O99" s="119"/>
      <c r="P99" s="68"/>
    </row>
    <row r="100" spans="1:16" ht="15.5" x14ac:dyDescent="0.35">
      <c r="A100" s="64">
        <v>2022</v>
      </c>
      <c r="B100" s="64">
        <v>2</v>
      </c>
      <c r="C100" s="65">
        <v>44652</v>
      </c>
      <c r="D100" s="65">
        <v>44742</v>
      </c>
      <c r="E100" s="100"/>
      <c r="F100" s="73"/>
      <c r="G100" s="73"/>
      <c r="H100" s="73"/>
      <c r="I100" s="74"/>
      <c r="J100" s="102"/>
      <c r="K100" s="76"/>
      <c r="L100" s="76"/>
      <c r="M100" s="76"/>
      <c r="N100" s="118"/>
      <c r="O100" s="119"/>
      <c r="P100" s="68"/>
    </row>
    <row r="101" spans="1:16" ht="15.5" x14ac:dyDescent="0.35">
      <c r="A101" s="64">
        <v>2022</v>
      </c>
      <c r="B101" s="64">
        <v>3</v>
      </c>
      <c r="C101" s="65">
        <v>44743</v>
      </c>
      <c r="D101" s="65">
        <v>44834</v>
      </c>
      <c r="E101" s="100"/>
      <c r="F101" s="73"/>
      <c r="G101" s="73"/>
      <c r="H101" s="73"/>
      <c r="I101" s="74"/>
      <c r="J101" s="102"/>
      <c r="K101" s="76"/>
      <c r="L101" s="76"/>
      <c r="M101" s="76"/>
      <c r="N101" s="118"/>
      <c r="O101" s="119"/>
      <c r="P101" s="68"/>
    </row>
    <row r="102" spans="1:16" ht="15.5" x14ac:dyDescent="0.35">
      <c r="A102" s="64">
        <v>2022</v>
      </c>
      <c r="B102" s="64">
        <v>4</v>
      </c>
      <c r="C102" s="65">
        <v>44835</v>
      </c>
      <c r="D102" s="65">
        <v>44926</v>
      </c>
      <c r="E102" s="100"/>
      <c r="F102" s="73"/>
      <c r="G102" s="73"/>
      <c r="H102" s="73"/>
      <c r="I102" s="74"/>
      <c r="J102" s="102"/>
      <c r="K102" s="76"/>
      <c r="L102" s="76"/>
      <c r="M102" s="76"/>
      <c r="N102" s="118"/>
      <c r="O102" s="119"/>
      <c r="P102" s="68"/>
    </row>
    <row r="103" spans="1:16" ht="15.5" x14ac:dyDescent="0.35">
      <c r="A103" s="64">
        <v>2023</v>
      </c>
      <c r="B103" s="64">
        <v>1</v>
      </c>
      <c r="C103" s="65">
        <v>44927</v>
      </c>
      <c r="D103" s="65">
        <v>45016</v>
      </c>
      <c r="E103" s="100"/>
      <c r="F103" s="73"/>
      <c r="G103" s="73"/>
      <c r="H103" s="73"/>
      <c r="I103" s="74"/>
      <c r="J103" s="102"/>
      <c r="K103" s="76"/>
      <c r="L103" s="76"/>
      <c r="M103" s="76"/>
      <c r="N103" s="118"/>
      <c r="O103" s="119"/>
      <c r="P103" s="68"/>
    </row>
    <row r="104" spans="1:16" ht="15.5" x14ac:dyDescent="0.35">
      <c r="A104" s="64">
        <v>2023</v>
      </c>
      <c r="B104" s="64">
        <v>2</v>
      </c>
      <c r="C104" s="65">
        <v>45017</v>
      </c>
      <c r="D104" s="65">
        <v>45107</v>
      </c>
      <c r="E104" s="100"/>
      <c r="F104" s="73"/>
      <c r="G104" s="73"/>
      <c r="H104" s="73"/>
      <c r="I104" s="74"/>
      <c r="J104" s="102"/>
      <c r="K104" s="76"/>
      <c r="L104" s="76"/>
      <c r="M104" s="76"/>
      <c r="N104" s="118"/>
      <c r="O104" s="119"/>
      <c r="P104" s="68"/>
    </row>
    <row r="105" spans="1:16" ht="15.5" x14ac:dyDescent="0.35">
      <c r="A105" s="64">
        <v>2023</v>
      </c>
      <c r="B105" s="64">
        <v>3</v>
      </c>
      <c r="C105" s="65">
        <v>45108</v>
      </c>
      <c r="D105" s="65">
        <v>45199</v>
      </c>
      <c r="E105" s="100"/>
      <c r="F105" s="73"/>
      <c r="G105" s="73"/>
      <c r="H105" s="73"/>
      <c r="I105" s="74"/>
      <c r="J105" s="102"/>
      <c r="K105" s="76"/>
      <c r="L105" s="76"/>
      <c r="M105" s="76"/>
      <c r="N105" s="118"/>
      <c r="O105" s="119"/>
      <c r="P105" s="68"/>
    </row>
    <row r="106" spans="1:16" ht="15.5" x14ac:dyDescent="0.35">
      <c r="A106" s="64">
        <v>2023</v>
      </c>
      <c r="B106" s="64">
        <v>4</v>
      </c>
      <c r="C106" s="65">
        <v>45200</v>
      </c>
      <c r="D106" s="65">
        <v>45291</v>
      </c>
      <c r="E106" s="72">
        <f>$E$118/9</f>
        <v>30555.555555555555</v>
      </c>
      <c r="F106" s="73">
        <v>0</v>
      </c>
      <c r="G106" s="73">
        <f t="shared" ref="G106:G117" si="52">G105+E106</f>
        <v>30555.555555555555</v>
      </c>
      <c r="H106" s="73">
        <f t="shared" ref="H106:H116" si="53">SUM(H105+F106)</f>
        <v>0</v>
      </c>
      <c r="I106" s="74">
        <f t="shared" ref="I106:I114" si="54">H106/G106</f>
        <v>0</v>
      </c>
      <c r="J106" s="75">
        <f>$J$118/9</f>
        <v>2777.7777777777778</v>
      </c>
      <c r="K106" s="76">
        <v>0</v>
      </c>
      <c r="L106" s="76">
        <f t="shared" ref="L106:L117" si="55">L105+J106</f>
        <v>2777.7777777777778</v>
      </c>
      <c r="M106" s="76">
        <f t="shared" ref="M106:M117" si="56">SUM(M105+K106)</f>
        <v>0</v>
      </c>
      <c r="N106" s="118">
        <f t="shared" ref="N106:N117" si="57">M106/L106</f>
        <v>0</v>
      </c>
      <c r="O106" s="119">
        <v>0</v>
      </c>
      <c r="P106" s="68">
        <v>0</v>
      </c>
    </row>
    <row r="107" spans="1:16" ht="15.5" x14ac:dyDescent="0.35">
      <c r="A107" s="64">
        <v>2024</v>
      </c>
      <c r="B107" s="64">
        <v>1</v>
      </c>
      <c r="C107" s="65">
        <v>45292</v>
      </c>
      <c r="D107" s="65">
        <v>45382</v>
      </c>
      <c r="E107" s="72">
        <f t="shared" ref="E107:E114" si="58">$E$118/9</f>
        <v>30555.555555555555</v>
      </c>
      <c r="F107" s="73">
        <v>0</v>
      </c>
      <c r="G107" s="73">
        <f t="shared" si="52"/>
        <v>61111.111111111109</v>
      </c>
      <c r="H107" s="73">
        <f t="shared" si="53"/>
        <v>0</v>
      </c>
      <c r="I107" s="74">
        <f t="shared" si="54"/>
        <v>0</v>
      </c>
      <c r="J107" s="75">
        <f t="shared" ref="J107:J114" si="59">$J$118/9</f>
        <v>2777.7777777777778</v>
      </c>
      <c r="K107" s="76"/>
      <c r="L107" s="76">
        <f t="shared" si="55"/>
        <v>5555.5555555555557</v>
      </c>
      <c r="M107" s="76">
        <f t="shared" si="56"/>
        <v>0</v>
      </c>
      <c r="N107" s="118">
        <f t="shared" si="57"/>
        <v>0</v>
      </c>
      <c r="O107" s="119">
        <v>0</v>
      </c>
      <c r="P107" s="68">
        <v>0</v>
      </c>
    </row>
    <row r="108" spans="1:16" ht="15.5" x14ac:dyDescent="0.35">
      <c r="A108" s="64">
        <v>2024</v>
      </c>
      <c r="B108" s="64">
        <v>2</v>
      </c>
      <c r="C108" s="65">
        <v>45383</v>
      </c>
      <c r="D108" s="65">
        <v>45473</v>
      </c>
      <c r="E108" s="72">
        <f t="shared" si="58"/>
        <v>30555.555555555555</v>
      </c>
      <c r="F108" s="73">
        <v>0</v>
      </c>
      <c r="G108" s="73">
        <f t="shared" si="52"/>
        <v>91666.666666666657</v>
      </c>
      <c r="H108" s="73">
        <f t="shared" si="53"/>
        <v>0</v>
      </c>
      <c r="I108" s="74">
        <f t="shared" si="54"/>
        <v>0</v>
      </c>
      <c r="J108" s="75">
        <f t="shared" si="59"/>
        <v>2777.7777777777778</v>
      </c>
      <c r="K108" s="76">
        <v>0</v>
      </c>
      <c r="L108" s="76">
        <f t="shared" si="55"/>
        <v>8333.3333333333339</v>
      </c>
      <c r="M108" s="76">
        <f t="shared" si="56"/>
        <v>0</v>
      </c>
      <c r="N108" s="118">
        <f t="shared" si="57"/>
        <v>0</v>
      </c>
      <c r="O108" s="119">
        <v>0</v>
      </c>
      <c r="P108" s="68">
        <v>0</v>
      </c>
    </row>
    <row r="109" spans="1:16" ht="15.5" x14ac:dyDescent="0.35">
      <c r="A109" s="64">
        <v>2024</v>
      </c>
      <c r="B109" s="64">
        <v>3</v>
      </c>
      <c r="C109" s="65">
        <v>45474</v>
      </c>
      <c r="D109" s="65">
        <v>45565</v>
      </c>
      <c r="E109" s="72">
        <f t="shared" si="58"/>
        <v>30555.555555555555</v>
      </c>
      <c r="F109" s="73">
        <v>100219.37</v>
      </c>
      <c r="G109" s="73">
        <f t="shared" si="52"/>
        <v>122222.22222222222</v>
      </c>
      <c r="H109" s="73">
        <f t="shared" si="53"/>
        <v>100219.37</v>
      </c>
      <c r="I109" s="128">
        <f t="shared" si="54"/>
        <v>0.81997666363636357</v>
      </c>
      <c r="J109" s="75">
        <f t="shared" si="59"/>
        <v>2777.7777777777778</v>
      </c>
      <c r="K109" s="77">
        <v>2000</v>
      </c>
      <c r="L109" s="77">
        <f t="shared" si="55"/>
        <v>11111.111111111111</v>
      </c>
      <c r="M109" s="77">
        <f t="shared" si="56"/>
        <v>2000</v>
      </c>
      <c r="N109" s="78">
        <f t="shared" si="57"/>
        <v>0.18</v>
      </c>
      <c r="O109" s="129">
        <v>0</v>
      </c>
      <c r="P109" s="130">
        <v>0</v>
      </c>
    </row>
    <row r="110" spans="1:16" ht="15.5" x14ac:dyDescent="0.35">
      <c r="A110" s="1">
        <v>2024</v>
      </c>
      <c r="B110" s="1">
        <v>4</v>
      </c>
      <c r="C110" s="2">
        <v>45566</v>
      </c>
      <c r="D110" s="2">
        <v>45657</v>
      </c>
      <c r="E110" s="21">
        <f t="shared" si="58"/>
        <v>30555.555555555555</v>
      </c>
      <c r="F110" s="17"/>
      <c r="G110" s="17">
        <f t="shared" si="52"/>
        <v>152777.77777777778</v>
      </c>
      <c r="H110" s="17">
        <f t="shared" si="53"/>
        <v>100219.37</v>
      </c>
      <c r="I110" s="124">
        <f t="shared" si="54"/>
        <v>0.65598133090909083</v>
      </c>
      <c r="J110" s="10">
        <f t="shared" si="59"/>
        <v>2777.7777777777778</v>
      </c>
      <c r="K110" s="123"/>
      <c r="L110" s="123">
        <f t="shared" si="55"/>
        <v>13888.888888888889</v>
      </c>
      <c r="M110" s="123">
        <f t="shared" si="56"/>
        <v>2000</v>
      </c>
      <c r="N110" s="16">
        <f t="shared" si="57"/>
        <v>0.14399999999999999</v>
      </c>
      <c r="O110" s="14">
        <v>0</v>
      </c>
      <c r="P110" s="3"/>
    </row>
    <row r="111" spans="1:16" ht="15.5" x14ac:dyDescent="0.35">
      <c r="A111" s="1">
        <v>2025</v>
      </c>
      <c r="B111" s="1">
        <v>1</v>
      </c>
      <c r="C111" s="2">
        <v>45658</v>
      </c>
      <c r="D111" s="2">
        <v>45747</v>
      </c>
      <c r="E111" s="21">
        <f t="shared" si="58"/>
        <v>30555.555555555555</v>
      </c>
      <c r="F111" s="17"/>
      <c r="G111" s="17">
        <f t="shared" si="52"/>
        <v>183333.33333333334</v>
      </c>
      <c r="H111" s="17">
        <f t="shared" si="53"/>
        <v>100219.37</v>
      </c>
      <c r="I111" s="124">
        <f t="shared" si="54"/>
        <v>0.54665110909090908</v>
      </c>
      <c r="J111" s="10">
        <f t="shared" si="59"/>
        <v>2777.7777777777778</v>
      </c>
      <c r="K111" s="123"/>
      <c r="L111" s="123">
        <f t="shared" si="55"/>
        <v>16666.666666666668</v>
      </c>
      <c r="M111" s="123">
        <f t="shared" si="56"/>
        <v>2000</v>
      </c>
      <c r="N111" s="16">
        <f t="shared" si="57"/>
        <v>0.12</v>
      </c>
      <c r="O111" s="14">
        <v>0</v>
      </c>
      <c r="P111" s="3"/>
    </row>
    <row r="112" spans="1:16" ht="15.5" x14ac:dyDescent="0.35">
      <c r="A112" s="1">
        <v>2025</v>
      </c>
      <c r="B112" s="1">
        <v>2</v>
      </c>
      <c r="C112" s="2">
        <v>45748</v>
      </c>
      <c r="D112" s="2">
        <v>45838</v>
      </c>
      <c r="E112" s="21">
        <f t="shared" si="58"/>
        <v>30555.555555555555</v>
      </c>
      <c r="F112" s="17"/>
      <c r="G112" s="17">
        <f t="shared" si="52"/>
        <v>213888.88888888891</v>
      </c>
      <c r="H112" s="17">
        <f t="shared" si="53"/>
        <v>100219.37</v>
      </c>
      <c r="I112" s="124">
        <f t="shared" si="54"/>
        <v>0.46855809350649347</v>
      </c>
      <c r="J112" s="10">
        <f t="shared" si="59"/>
        <v>2777.7777777777778</v>
      </c>
      <c r="K112" s="123"/>
      <c r="L112" s="123">
        <f t="shared" si="55"/>
        <v>19444.444444444445</v>
      </c>
      <c r="M112" s="123">
        <f t="shared" si="56"/>
        <v>2000</v>
      </c>
      <c r="N112" s="16">
        <f t="shared" si="57"/>
        <v>0.10285714285714286</v>
      </c>
      <c r="O112" s="14">
        <v>0</v>
      </c>
      <c r="P112" s="3"/>
    </row>
    <row r="113" spans="1:16" ht="15.5" x14ac:dyDescent="0.35">
      <c r="A113" s="1">
        <v>2025</v>
      </c>
      <c r="B113" s="1">
        <v>3</v>
      </c>
      <c r="C113" s="2">
        <v>45839</v>
      </c>
      <c r="D113" s="2">
        <v>45930</v>
      </c>
      <c r="E113" s="21">
        <f t="shared" si="58"/>
        <v>30555.555555555555</v>
      </c>
      <c r="F113" s="17"/>
      <c r="G113" s="17">
        <f t="shared" si="52"/>
        <v>244444.44444444447</v>
      </c>
      <c r="H113" s="17">
        <f t="shared" si="53"/>
        <v>100219.37</v>
      </c>
      <c r="I113" s="124">
        <f t="shared" si="54"/>
        <v>0.40998833181818178</v>
      </c>
      <c r="J113" s="10">
        <f t="shared" si="59"/>
        <v>2777.7777777777778</v>
      </c>
      <c r="K113" s="123"/>
      <c r="L113" s="123">
        <f t="shared" si="55"/>
        <v>22222.222222222223</v>
      </c>
      <c r="M113" s="123">
        <f t="shared" si="56"/>
        <v>2000</v>
      </c>
      <c r="N113" s="16">
        <f t="shared" si="57"/>
        <v>0.09</v>
      </c>
      <c r="O113" s="14">
        <v>0</v>
      </c>
      <c r="P113" s="3"/>
    </row>
    <row r="114" spans="1:16" ht="15.5" x14ac:dyDescent="0.35">
      <c r="A114" s="1">
        <v>2025</v>
      </c>
      <c r="B114" s="1">
        <v>4</v>
      </c>
      <c r="C114" s="2">
        <v>45931</v>
      </c>
      <c r="D114" s="2">
        <v>46022</v>
      </c>
      <c r="E114" s="21">
        <f t="shared" si="58"/>
        <v>30555.555555555555</v>
      </c>
      <c r="F114" s="17"/>
      <c r="G114" s="17">
        <f t="shared" si="52"/>
        <v>275000</v>
      </c>
      <c r="H114" s="17">
        <f t="shared" si="53"/>
        <v>100219.37</v>
      </c>
      <c r="I114" s="124">
        <f t="shared" si="54"/>
        <v>0.36443407272727268</v>
      </c>
      <c r="J114" s="10">
        <f t="shared" si="59"/>
        <v>2777.7777777777778</v>
      </c>
      <c r="K114" s="123"/>
      <c r="L114" s="123">
        <f t="shared" si="55"/>
        <v>25000</v>
      </c>
      <c r="M114" s="123">
        <f t="shared" si="56"/>
        <v>2000</v>
      </c>
      <c r="N114" s="16">
        <f t="shared" si="57"/>
        <v>0.08</v>
      </c>
      <c r="O114" s="14">
        <v>96</v>
      </c>
      <c r="P114" s="3"/>
    </row>
    <row r="115" spans="1:16" ht="15.5" x14ac:dyDescent="0.35">
      <c r="A115" s="1">
        <v>2026</v>
      </c>
      <c r="B115" s="1">
        <v>1</v>
      </c>
      <c r="C115" s="2">
        <v>46023</v>
      </c>
      <c r="D115" s="2">
        <v>46112</v>
      </c>
      <c r="E115" s="21"/>
      <c r="F115" s="17"/>
      <c r="G115" s="17">
        <f t="shared" si="52"/>
        <v>275000</v>
      </c>
      <c r="H115" s="17">
        <f t="shared" si="53"/>
        <v>100219.37</v>
      </c>
      <c r="I115" s="124">
        <f>H115/G115</f>
        <v>0.36443407272727268</v>
      </c>
      <c r="J115" s="10"/>
      <c r="K115" s="123"/>
      <c r="L115" s="123">
        <f t="shared" si="55"/>
        <v>25000</v>
      </c>
      <c r="M115" s="123">
        <f t="shared" si="56"/>
        <v>2000</v>
      </c>
      <c r="N115" s="16">
        <f t="shared" si="57"/>
        <v>0.08</v>
      </c>
      <c r="O115" s="14"/>
      <c r="P115" s="3"/>
    </row>
    <row r="116" spans="1:16" ht="15.5" x14ac:dyDescent="0.35">
      <c r="A116" s="1">
        <v>2026</v>
      </c>
      <c r="B116" s="1">
        <v>2</v>
      </c>
      <c r="C116" s="2">
        <v>46113</v>
      </c>
      <c r="D116" s="2">
        <v>46203</v>
      </c>
      <c r="E116" s="21"/>
      <c r="F116" s="17"/>
      <c r="G116" s="17">
        <f t="shared" si="52"/>
        <v>275000</v>
      </c>
      <c r="H116" s="17">
        <f t="shared" si="53"/>
        <v>100219.37</v>
      </c>
      <c r="I116" s="124">
        <f t="shared" ref="I116:I117" si="60">H116/G116</f>
        <v>0.36443407272727268</v>
      </c>
      <c r="J116" s="10"/>
      <c r="K116" s="123"/>
      <c r="L116" s="123">
        <f t="shared" si="55"/>
        <v>25000</v>
      </c>
      <c r="M116" s="123">
        <f t="shared" si="56"/>
        <v>2000</v>
      </c>
      <c r="N116" s="16">
        <f t="shared" si="57"/>
        <v>0.08</v>
      </c>
      <c r="O116" s="14"/>
      <c r="P116" s="3"/>
    </row>
    <row r="117" spans="1:16" ht="15.5" x14ac:dyDescent="0.35">
      <c r="A117" s="1">
        <v>2026</v>
      </c>
      <c r="B117" s="1">
        <v>3</v>
      </c>
      <c r="C117" s="2">
        <v>46204</v>
      </c>
      <c r="D117" s="2">
        <v>46295</v>
      </c>
      <c r="E117" s="21"/>
      <c r="F117" s="17"/>
      <c r="G117" s="17">
        <f t="shared" si="52"/>
        <v>275000</v>
      </c>
      <c r="H117" s="17">
        <f>SUM(H116+F117)</f>
        <v>100219.37</v>
      </c>
      <c r="I117" s="124">
        <f t="shared" si="60"/>
        <v>0.36443407272727268</v>
      </c>
      <c r="J117" s="10"/>
      <c r="K117" s="125"/>
      <c r="L117" s="125">
        <f t="shared" si="55"/>
        <v>25000</v>
      </c>
      <c r="M117" s="125">
        <f t="shared" si="56"/>
        <v>2000</v>
      </c>
      <c r="N117" s="16">
        <f t="shared" si="57"/>
        <v>0.08</v>
      </c>
      <c r="O117" s="14"/>
      <c r="P117" s="3"/>
    </row>
    <row r="118" spans="1:16" ht="15" thickBot="1" x14ac:dyDescent="0.4">
      <c r="A118" s="36" t="s">
        <v>12</v>
      </c>
      <c r="B118" s="36"/>
      <c r="C118" s="36"/>
      <c r="D118" s="37"/>
      <c r="E118" s="38">
        <f>247500+27500</f>
        <v>275000</v>
      </c>
      <c r="F118" s="34">
        <f>SUM(F94:F117)</f>
        <v>100219.37</v>
      </c>
      <c r="G118" s="34">
        <f>G117</f>
        <v>275000</v>
      </c>
      <c r="H118" s="35">
        <f>H117</f>
        <v>100219.37</v>
      </c>
      <c r="I118" s="145">
        <f>H118/G118</f>
        <v>0.36443407272727268</v>
      </c>
      <c r="J118" s="39">
        <v>25000</v>
      </c>
      <c r="K118" s="46">
        <f>SUM(K94:K117)</f>
        <v>2000</v>
      </c>
      <c r="L118" s="40">
        <f>L117</f>
        <v>25000</v>
      </c>
      <c r="M118" s="41">
        <f>M117</f>
        <v>2000</v>
      </c>
      <c r="N118" s="42">
        <f>M118/L118</f>
        <v>0.08</v>
      </c>
      <c r="O118" s="43">
        <f>SUM(O94:O117)</f>
        <v>96</v>
      </c>
      <c r="P118" s="43">
        <f>SUM(P94:P117)</f>
        <v>0</v>
      </c>
    </row>
    <row r="119" spans="1:16" ht="15" thickTop="1" x14ac:dyDescent="0.35">
      <c r="E119" s="162">
        <f>E118+J118</f>
        <v>300000</v>
      </c>
    </row>
  </sheetData>
  <mergeCells count="16">
    <mergeCell ref="A1:P1"/>
    <mergeCell ref="A31:P31"/>
    <mergeCell ref="A91:P91"/>
    <mergeCell ref="A92:D92"/>
    <mergeCell ref="E92:I92"/>
    <mergeCell ref="J92:N92"/>
    <mergeCell ref="A2:D2"/>
    <mergeCell ref="E2:I2"/>
    <mergeCell ref="J2:N2"/>
    <mergeCell ref="A32:D32"/>
    <mergeCell ref="E32:I32"/>
    <mergeCell ref="J32:N32"/>
    <mergeCell ref="A62:D62"/>
    <mergeCell ref="E62:I62"/>
    <mergeCell ref="J62:N62"/>
    <mergeCell ref="A61:P6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83404-6166-41BB-BC37-01FA131DBFB9}">
  <dimension ref="A1:I119"/>
  <sheetViews>
    <sheetView zoomScale="80" zoomScaleNormal="80" workbookViewId="0">
      <selection activeCell="F109" sqref="F109"/>
    </sheetView>
  </sheetViews>
  <sheetFormatPr defaultColWidth="9.1796875" defaultRowHeight="14.5" x14ac:dyDescent="0.35"/>
  <cols>
    <col min="1" max="2" width="9.1796875" style="116"/>
    <col min="3" max="3" width="11.7265625" style="116" bestFit="1" customWidth="1"/>
    <col min="4" max="4" width="13.1796875" style="116" bestFit="1" customWidth="1"/>
    <col min="5" max="5" width="15" style="116" bestFit="1" customWidth="1"/>
    <col min="6" max="6" width="13.453125" style="116" bestFit="1" customWidth="1"/>
    <col min="7" max="7" width="15" style="116" bestFit="1" customWidth="1"/>
    <col min="8" max="8" width="13.453125" style="116" bestFit="1" customWidth="1"/>
    <col min="9" max="9" width="11.81640625" style="116" customWidth="1"/>
    <col min="10" max="10" width="12.7265625" style="116" bestFit="1" customWidth="1"/>
    <col min="11" max="11" width="12.26953125" style="116" bestFit="1" customWidth="1"/>
    <col min="12" max="12" width="13.26953125" style="116" bestFit="1" customWidth="1"/>
    <col min="13" max="13" width="12.26953125" style="116" bestFit="1" customWidth="1"/>
    <col min="14" max="14" width="11.81640625" style="116" customWidth="1"/>
    <col min="15" max="15" width="13.453125" style="116" bestFit="1" customWidth="1"/>
    <col min="16" max="16" width="9.1796875" style="116"/>
    <col min="17" max="17" width="13.453125" style="116" bestFit="1" customWidth="1"/>
    <col min="18" max="18" width="10.453125" style="116" customWidth="1"/>
    <col min="19" max="19" width="9.1796875" style="116"/>
    <col min="20" max="20" width="11.54296875" style="116" bestFit="1" customWidth="1"/>
    <col min="21" max="21" width="9.1796875" style="116"/>
    <col min="22" max="22" width="12.26953125" style="116" bestFit="1" customWidth="1"/>
    <col min="23" max="26" width="9.1796875" style="116"/>
    <col min="27" max="27" width="11.81640625" style="116" customWidth="1"/>
    <col min="28" max="28" width="11.1796875" style="116" customWidth="1"/>
    <col min="29" max="29" width="12.54296875" style="116" customWidth="1"/>
    <col min="30" max="16384" width="9.1796875" style="116"/>
  </cols>
  <sheetData>
    <row r="1" spans="1:9" x14ac:dyDescent="0.35">
      <c r="A1" s="216" t="s">
        <v>126</v>
      </c>
      <c r="B1" s="216"/>
      <c r="C1" s="216"/>
      <c r="D1" s="216"/>
      <c r="E1" s="217"/>
      <c r="F1" s="217"/>
      <c r="G1" s="217"/>
      <c r="H1" s="217"/>
      <c r="I1" s="217"/>
    </row>
    <row r="2" spans="1:9" ht="15" thickBot="1" x14ac:dyDescent="0.4">
      <c r="A2" s="202" t="s">
        <v>0</v>
      </c>
      <c r="B2" s="204"/>
      <c r="C2" s="204"/>
      <c r="D2" s="204"/>
      <c r="E2" s="193" t="s">
        <v>24</v>
      </c>
      <c r="F2" s="193"/>
      <c r="G2" s="193"/>
      <c r="H2" s="193"/>
      <c r="I2" s="194"/>
    </row>
    <row r="3" spans="1:9" ht="47" thickTop="1" x14ac:dyDescent="0.35">
      <c r="A3" s="7" t="s">
        <v>1</v>
      </c>
      <c r="B3" s="7" t="s">
        <v>2</v>
      </c>
      <c r="C3" s="7" t="s">
        <v>3</v>
      </c>
      <c r="D3" s="9" t="s">
        <v>9</v>
      </c>
      <c r="E3" s="19" t="s">
        <v>4</v>
      </c>
      <c r="F3" s="20" t="s">
        <v>6</v>
      </c>
      <c r="G3" s="20" t="s">
        <v>5</v>
      </c>
      <c r="H3" s="48" t="s">
        <v>7</v>
      </c>
      <c r="I3" s="51" t="s">
        <v>8</v>
      </c>
    </row>
    <row r="4" spans="1:9" ht="15.5" x14ac:dyDescent="0.35">
      <c r="A4" s="64">
        <v>2020</v>
      </c>
      <c r="B4" s="64">
        <v>4</v>
      </c>
      <c r="C4" s="65">
        <v>44105</v>
      </c>
      <c r="D4" s="65">
        <v>44196</v>
      </c>
      <c r="E4" s="66"/>
      <c r="F4" s="66"/>
      <c r="G4" s="66"/>
      <c r="H4" s="70"/>
      <c r="I4" s="71"/>
    </row>
    <row r="5" spans="1:9" ht="15.5" x14ac:dyDescent="0.35">
      <c r="A5" s="64">
        <v>2021</v>
      </c>
      <c r="B5" s="64">
        <v>1</v>
      </c>
      <c r="C5" s="65">
        <v>44197</v>
      </c>
      <c r="D5" s="65">
        <v>44286</v>
      </c>
      <c r="E5" s="66"/>
      <c r="F5" s="66"/>
      <c r="G5" s="66"/>
      <c r="H5" s="70"/>
      <c r="I5" s="71"/>
    </row>
    <row r="6" spans="1:9" ht="15.5" x14ac:dyDescent="0.35">
      <c r="A6" s="89">
        <v>2021</v>
      </c>
      <c r="B6" s="89">
        <v>2</v>
      </c>
      <c r="C6" s="90">
        <v>44287</v>
      </c>
      <c r="D6" s="90">
        <v>44377</v>
      </c>
      <c r="E6" s="66"/>
      <c r="F6" s="73"/>
      <c r="G6" s="73"/>
      <c r="H6" s="111"/>
      <c r="I6" s="110"/>
    </row>
    <row r="7" spans="1:9" ht="15.5" x14ac:dyDescent="0.35">
      <c r="A7" s="64">
        <v>2021</v>
      </c>
      <c r="B7" s="64">
        <v>3</v>
      </c>
      <c r="C7" s="65">
        <v>44378</v>
      </c>
      <c r="D7" s="65">
        <v>44469</v>
      </c>
      <c r="E7" s="66"/>
      <c r="F7" s="73"/>
      <c r="G7" s="73"/>
      <c r="H7" s="111"/>
      <c r="I7" s="110"/>
    </row>
    <row r="8" spans="1:9" ht="15.5" x14ac:dyDescent="0.35">
      <c r="A8" s="64">
        <v>2021</v>
      </c>
      <c r="B8" s="64">
        <v>4</v>
      </c>
      <c r="C8" s="65">
        <v>44470</v>
      </c>
      <c r="D8" s="65">
        <v>44561</v>
      </c>
      <c r="E8" s="66"/>
      <c r="F8" s="73"/>
      <c r="G8" s="73"/>
      <c r="H8" s="111"/>
      <c r="I8" s="110"/>
    </row>
    <row r="9" spans="1:9" ht="15.5" x14ac:dyDescent="0.35">
      <c r="A9" s="64">
        <v>2022</v>
      </c>
      <c r="B9" s="64">
        <v>1</v>
      </c>
      <c r="C9" s="65">
        <v>44562</v>
      </c>
      <c r="D9" s="65">
        <v>44651</v>
      </c>
      <c r="E9" s="66"/>
      <c r="F9" s="73"/>
      <c r="G9" s="73"/>
      <c r="H9" s="111"/>
      <c r="I9" s="110"/>
    </row>
    <row r="10" spans="1:9" ht="15.5" x14ac:dyDescent="0.35">
      <c r="A10" s="64">
        <v>2022</v>
      </c>
      <c r="B10" s="64">
        <v>2</v>
      </c>
      <c r="C10" s="65">
        <v>44652</v>
      </c>
      <c r="D10" s="65">
        <v>44742</v>
      </c>
      <c r="E10" s="66"/>
      <c r="F10" s="73"/>
      <c r="G10" s="73"/>
      <c r="H10" s="111"/>
      <c r="I10" s="110"/>
    </row>
    <row r="11" spans="1:9" ht="15.5" x14ac:dyDescent="0.35">
      <c r="A11" s="64">
        <v>2022</v>
      </c>
      <c r="B11" s="64">
        <v>3</v>
      </c>
      <c r="C11" s="65">
        <v>44743</v>
      </c>
      <c r="D11" s="65">
        <v>44834</v>
      </c>
      <c r="E11" s="66">
        <f>$E$28/8</f>
        <v>31250</v>
      </c>
      <c r="F11" s="73">
        <v>0</v>
      </c>
      <c r="G11" s="73">
        <f t="shared" ref="G11" si="0">G10+E11</f>
        <v>31250</v>
      </c>
      <c r="H11" s="111">
        <f t="shared" ref="H11" si="1">SUM(H10+F11)</f>
        <v>0</v>
      </c>
      <c r="I11" s="110">
        <f t="shared" ref="I11:I24" si="2">H11/G11</f>
        <v>0</v>
      </c>
    </row>
    <row r="12" spans="1:9" ht="15.5" x14ac:dyDescent="0.35">
      <c r="A12" s="64">
        <v>2022</v>
      </c>
      <c r="B12" s="64">
        <v>4</v>
      </c>
      <c r="C12" s="65">
        <v>44835</v>
      </c>
      <c r="D12" s="65">
        <v>44926</v>
      </c>
      <c r="E12" s="66">
        <f t="shared" ref="E12:E18" si="3">$E$28/8</f>
        <v>31250</v>
      </c>
      <c r="F12" s="73">
        <v>6098</v>
      </c>
      <c r="G12" s="73">
        <f>G11+E12</f>
        <v>62500</v>
      </c>
      <c r="H12" s="111">
        <f>SUM(H11+F12)</f>
        <v>6098</v>
      </c>
      <c r="I12" s="110">
        <f t="shared" si="2"/>
        <v>9.7568000000000002E-2</v>
      </c>
    </row>
    <row r="13" spans="1:9" ht="15.5" x14ac:dyDescent="0.35">
      <c r="A13" s="64">
        <v>2023</v>
      </c>
      <c r="B13" s="64">
        <v>1</v>
      </c>
      <c r="C13" s="65">
        <v>44927</v>
      </c>
      <c r="D13" s="65">
        <v>45016</v>
      </c>
      <c r="E13" s="66">
        <f t="shared" si="3"/>
        <v>31250</v>
      </c>
      <c r="F13" s="73">
        <v>18294.48</v>
      </c>
      <c r="G13" s="73">
        <f t="shared" ref="G13:G27" si="4">G12+E13</f>
        <v>93750</v>
      </c>
      <c r="H13" s="111">
        <f t="shared" ref="H13:H26" si="5">SUM(H12+F13)</f>
        <v>24392.48</v>
      </c>
      <c r="I13" s="110">
        <f t="shared" si="2"/>
        <v>0.26018645333333335</v>
      </c>
    </row>
    <row r="14" spans="1:9" ht="15.5" x14ac:dyDescent="0.35">
      <c r="A14" s="64">
        <v>2023</v>
      </c>
      <c r="B14" s="64">
        <v>2</v>
      </c>
      <c r="C14" s="65">
        <v>45017</v>
      </c>
      <c r="D14" s="65">
        <v>45107</v>
      </c>
      <c r="E14" s="66">
        <f t="shared" si="3"/>
        <v>31250</v>
      </c>
      <c r="F14" s="73">
        <v>30624.89</v>
      </c>
      <c r="G14" s="73">
        <f t="shared" si="4"/>
        <v>125000</v>
      </c>
      <c r="H14" s="111">
        <f t="shared" si="5"/>
        <v>55017.369999999995</v>
      </c>
      <c r="I14" s="110">
        <f t="shared" si="2"/>
        <v>0.44013895999999997</v>
      </c>
    </row>
    <row r="15" spans="1:9" ht="15.5" x14ac:dyDescent="0.35">
      <c r="A15" s="64">
        <v>2023</v>
      </c>
      <c r="B15" s="64">
        <v>3</v>
      </c>
      <c r="C15" s="65">
        <v>45108</v>
      </c>
      <c r="D15" s="65">
        <v>45199</v>
      </c>
      <c r="E15" s="66">
        <f t="shared" si="3"/>
        <v>31250</v>
      </c>
      <c r="F15" s="73">
        <v>66241.429999999993</v>
      </c>
      <c r="G15" s="73">
        <f t="shared" si="4"/>
        <v>156250</v>
      </c>
      <c r="H15" s="111">
        <f t="shared" si="5"/>
        <v>121258.79999999999</v>
      </c>
      <c r="I15" s="110">
        <f t="shared" si="2"/>
        <v>0.77605631999999991</v>
      </c>
    </row>
    <row r="16" spans="1:9" ht="15.5" x14ac:dyDescent="0.35">
      <c r="A16" s="64">
        <v>2023</v>
      </c>
      <c r="B16" s="64">
        <v>4</v>
      </c>
      <c r="C16" s="65">
        <v>45200</v>
      </c>
      <c r="D16" s="65">
        <v>45291</v>
      </c>
      <c r="E16" s="66">
        <f t="shared" si="3"/>
        <v>31250</v>
      </c>
      <c r="F16" s="73">
        <v>42567.93</v>
      </c>
      <c r="G16" s="73">
        <f t="shared" si="4"/>
        <v>187500</v>
      </c>
      <c r="H16" s="111">
        <f t="shared" si="5"/>
        <v>163826.72999999998</v>
      </c>
      <c r="I16" s="110">
        <f t="shared" si="2"/>
        <v>0.87374255999999995</v>
      </c>
    </row>
    <row r="17" spans="1:9" ht="15.5" x14ac:dyDescent="0.35">
      <c r="A17" s="64">
        <v>2024</v>
      </c>
      <c r="B17" s="64">
        <v>1</v>
      </c>
      <c r="C17" s="65">
        <v>45292</v>
      </c>
      <c r="D17" s="65">
        <v>45382</v>
      </c>
      <c r="E17" s="66">
        <f t="shared" si="3"/>
        <v>31250</v>
      </c>
      <c r="F17" s="73">
        <v>26377.39</v>
      </c>
      <c r="G17" s="73">
        <f t="shared" si="4"/>
        <v>218750</v>
      </c>
      <c r="H17" s="111">
        <f t="shared" si="5"/>
        <v>190204.12</v>
      </c>
      <c r="I17" s="110">
        <f t="shared" si="2"/>
        <v>0.86950454857142856</v>
      </c>
    </row>
    <row r="18" spans="1:9" ht="15.5" x14ac:dyDescent="0.35">
      <c r="A18" s="64">
        <v>2024</v>
      </c>
      <c r="B18" s="64">
        <v>2</v>
      </c>
      <c r="C18" s="65">
        <v>45383</v>
      </c>
      <c r="D18" s="65">
        <v>45473</v>
      </c>
      <c r="E18" s="66">
        <f t="shared" si="3"/>
        <v>31250</v>
      </c>
      <c r="F18" s="73">
        <v>14047.38</v>
      </c>
      <c r="G18" s="73">
        <f t="shared" si="4"/>
        <v>250000</v>
      </c>
      <c r="H18" s="111">
        <f t="shared" si="5"/>
        <v>204251.5</v>
      </c>
      <c r="I18" s="110">
        <f t="shared" si="2"/>
        <v>0.81700600000000001</v>
      </c>
    </row>
    <row r="19" spans="1:9" ht="15.5" x14ac:dyDescent="0.35">
      <c r="A19" s="64">
        <v>2024</v>
      </c>
      <c r="B19" s="64">
        <v>3</v>
      </c>
      <c r="C19" s="65">
        <v>45474</v>
      </c>
      <c r="D19" s="65">
        <v>45565</v>
      </c>
      <c r="E19" s="66"/>
      <c r="F19" s="73">
        <v>45748.5</v>
      </c>
      <c r="G19" s="73">
        <f t="shared" si="4"/>
        <v>250000</v>
      </c>
      <c r="H19" s="111">
        <f t="shared" si="5"/>
        <v>250000</v>
      </c>
      <c r="I19" s="149">
        <f t="shared" si="2"/>
        <v>1</v>
      </c>
    </row>
    <row r="20" spans="1:9" ht="15.5" x14ac:dyDescent="0.35">
      <c r="A20" s="64">
        <v>2024</v>
      </c>
      <c r="B20" s="64">
        <v>4</v>
      </c>
      <c r="C20" s="65">
        <v>45566</v>
      </c>
      <c r="D20" s="65">
        <v>45657</v>
      </c>
      <c r="E20" s="66"/>
      <c r="F20" s="73"/>
      <c r="G20" s="73">
        <f>G19+E20</f>
        <v>250000</v>
      </c>
      <c r="H20" s="111">
        <f t="shared" si="5"/>
        <v>250000</v>
      </c>
      <c r="I20" s="149">
        <f t="shared" si="2"/>
        <v>1</v>
      </c>
    </row>
    <row r="21" spans="1:9" ht="15.5" x14ac:dyDescent="0.35">
      <c r="A21" s="64">
        <v>2025</v>
      </c>
      <c r="B21" s="64">
        <v>1</v>
      </c>
      <c r="C21" s="65">
        <v>45658</v>
      </c>
      <c r="D21" s="65">
        <v>45747</v>
      </c>
      <c r="E21" s="66"/>
      <c r="F21" s="73"/>
      <c r="G21" s="73">
        <f t="shared" si="4"/>
        <v>250000</v>
      </c>
      <c r="H21" s="111">
        <f t="shared" si="5"/>
        <v>250000</v>
      </c>
      <c r="I21" s="149">
        <f t="shared" si="2"/>
        <v>1</v>
      </c>
    </row>
    <row r="22" spans="1:9" ht="15.5" x14ac:dyDescent="0.35">
      <c r="A22" s="64">
        <v>2025</v>
      </c>
      <c r="B22" s="64">
        <v>2</v>
      </c>
      <c r="C22" s="65">
        <v>45748</v>
      </c>
      <c r="D22" s="65">
        <v>45838</v>
      </c>
      <c r="E22" s="66"/>
      <c r="F22" s="73"/>
      <c r="G22" s="73">
        <f t="shared" si="4"/>
        <v>250000</v>
      </c>
      <c r="H22" s="111">
        <f t="shared" si="5"/>
        <v>250000</v>
      </c>
      <c r="I22" s="149">
        <f t="shared" si="2"/>
        <v>1</v>
      </c>
    </row>
    <row r="23" spans="1:9" ht="15.5" x14ac:dyDescent="0.35">
      <c r="A23" s="64">
        <v>2025</v>
      </c>
      <c r="B23" s="64">
        <v>3</v>
      </c>
      <c r="C23" s="65">
        <v>45839</v>
      </c>
      <c r="D23" s="65">
        <v>45930</v>
      </c>
      <c r="E23" s="66"/>
      <c r="F23" s="73"/>
      <c r="G23" s="73">
        <f t="shared" si="4"/>
        <v>250000</v>
      </c>
      <c r="H23" s="111">
        <f t="shared" si="5"/>
        <v>250000</v>
      </c>
      <c r="I23" s="149">
        <f t="shared" si="2"/>
        <v>1</v>
      </c>
    </row>
    <row r="24" spans="1:9" ht="15.5" x14ac:dyDescent="0.35">
      <c r="A24" s="64">
        <v>2025</v>
      </c>
      <c r="B24" s="64">
        <v>4</v>
      </c>
      <c r="C24" s="65">
        <v>45931</v>
      </c>
      <c r="D24" s="65">
        <v>46022</v>
      </c>
      <c r="E24" s="66"/>
      <c r="F24" s="73"/>
      <c r="G24" s="73">
        <f t="shared" si="4"/>
        <v>250000</v>
      </c>
      <c r="H24" s="111">
        <f t="shared" si="5"/>
        <v>250000</v>
      </c>
      <c r="I24" s="149">
        <f t="shared" si="2"/>
        <v>1</v>
      </c>
    </row>
    <row r="25" spans="1:9" ht="15.5" x14ac:dyDescent="0.35">
      <c r="A25" s="64">
        <v>2026</v>
      </c>
      <c r="B25" s="64">
        <v>1</v>
      </c>
      <c r="C25" s="65">
        <v>46023</v>
      </c>
      <c r="D25" s="65">
        <v>46112</v>
      </c>
      <c r="E25" s="66"/>
      <c r="F25" s="73"/>
      <c r="G25" s="73">
        <f t="shared" si="4"/>
        <v>250000</v>
      </c>
      <c r="H25" s="111">
        <f t="shared" si="5"/>
        <v>250000</v>
      </c>
      <c r="I25" s="149">
        <f>H25/G25</f>
        <v>1</v>
      </c>
    </row>
    <row r="26" spans="1:9" ht="15.5" x14ac:dyDescent="0.35">
      <c r="A26" s="64">
        <v>2026</v>
      </c>
      <c r="B26" s="64">
        <v>2</v>
      </c>
      <c r="C26" s="65">
        <v>46113</v>
      </c>
      <c r="D26" s="65">
        <v>46203</v>
      </c>
      <c r="E26" s="66"/>
      <c r="F26" s="73"/>
      <c r="G26" s="73">
        <f t="shared" si="4"/>
        <v>250000</v>
      </c>
      <c r="H26" s="111">
        <f t="shared" si="5"/>
        <v>250000</v>
      </c>
      <c r="I26" s="149">
        <f t="shared" ref="I26:I27" si="6">H26/G26</f>
        <v>1</v>
      </c>
    </row>
    <row r="27" spans="1:9" ht="15.5" x14ac:dyDescent="0.35">
      <c r="A27" s="64">
        <v>2026</v>
      </c>
      <c r="B27" s="64">
        <v>3</v>
      </c>
      <c r="C27" s="65">
        <v>46204</v>
      </c>
      <c r="D27" s="65">
        <v>46295</v>
      </c>
      <c r="E27" s="66"/>
      <c r="F27" s="73"/>
      <c r="G27" s="73">
        <f t="shared" si="4"/>
        <v>250000</v>
      </c>
      <c r="H27" s="111">
        <f>SUM(H26+F27)</f>
        <v>250000</v>
      </c>
      <c r="I27" s="149">
        <f t="shared" si="6"/>
        <v>1</v>
      </c>
    </row>
    <row r="28" spans="1:9" ht="15" thickBot="1" x14ac:dyDescent="0.4">
      <c r="A28" s="133" t="s">
        <v>12</v>
      </c>
      <c r="B28" s="133"/>
      <c r="C28" s="133"/>
      <c r="D28" s="134"/>
      <c r="E28" s="135">
        <v>250000</v>
      </c>
      <c r="F28" s="136">
        <f>SUM(F4:F27)</f>
        <v>250000</v>
      </c>
      <c r="G28" s="136">
        <f>G27</f>
        <v>250000</v>
      </c>
      <c r="H28" s="137">
        <f>H27</f>
        <v>250000</v>
      </c>
      <c r="I28" s="148">
        <f>H28/G28</f>
        <v>1</v>
      </c>
    </row>
    <row r="29" spans="1:9" ht="15" thickTop="1" x14ac:dyDescent="0.35"/>
    <row r="31" spans="1:9" x14ac:dyDescent="0.35">
      <c r="A31" s="216" t="s">
        <v>127</v>
      </c>
      <c r="B31" s="216"/>
      <c r="C31" s="216"/>
      <c r="D31" s="216"/>
      <c r="E31" s="217"/>
      <c r="F31" s="217"/>
      <c r="G31" s="217"/>
      <c r="H31" s="217"/>
      <c r="I31" s="217"/>
    </row>
    <row r="32" spans="1:9" ht="15" thickBot="1" x14ac:dyDescent="0.4">
      <c r="A32" s="202" t="s">
        <v>0</v>
      </c>
      <c r="B32" s="204"/>
      <c r="C32" s="204"/>
      <c r="D32" s="204"/>
      <c r="E32" s="193" t="s">
        <v>24</v>
      </c>
      <c r="F32" s="193"/>
      <c r="G32" s="193"/>
      <c r="H32" s="193"/>
      <c r="I32" s="194"/>
    </row>
    <row r="33" spans="1:9" ht="47" thickTop="1" x14ac:dyDescent="0.35">
      <c r="A33" s="7" t="s">
        <v>1</v>
      </c>
      <c r="B33" s="7" t="s">
        <v>2</v>
      </c>
      <c r="C33" s="7" t="s">
        <v>3</v>
      </c>
      <c r="D33" s="9" t="s">
        <v>9</v>
      </c>
      <c r="E33" s="19" t="s">
        <v>4</v>
      </c>
      <c r="F33" s="20" t="s">
        <v>6</v>
      </c>
      <c r="G33" s="20" t="s">
        <v>5</v>
      </c>
      <c r="H33" s="48" t="s">
        <v>7</v>
      </c>
      <c r="I33" s="51" t="s">
        <v>8</v>
      </c>
    </row>
    <row r="34" spans="1:9" ht="15.5" x14ac:dyDescent="0.35">
      <c r="A34" s="64">
        <v>2020</v>
      </c>
      <c r="B34" s="64">
        <v>4</v>
      </c>
      <c r="C34" s="65">
        <v>44105</v>
      </c>
      <c r="D34" s="65">
        <v>44196</v>
      </c>
      <c r="E34" s="66"/>
      <c r="F34" s="66"/>
      <c r="G34" s="66"/>
      <c r="H34" s="70"/>
      <c r="I34" s="71"/>
    </row>
    <row r="35" spans="1:9" ht="15.5" x14ac:dyDescent="0.35">
      <c r="A35" s="64">
        <v>2021</v>
      </c>
      <c r="B35" s="64">
        <v>1</v>
      </c>
      <c r="C35" s="65">
        <v>44197</v>
      </c>
      <c r="D35" s="65">
        <v>44286</v>
      </c>
      <c r="E35" s="66"/>
      <c r="F35" s="66"/>
      <c r="G35" s="66"/>
      <c r="H35" s="70"/>
      <c r="I35" s="71"/>
    </row>
    <row r="36" spans="1:9" ht="15.5" x14ac:dyDescent="0.35">
      <c r="A36" s="89">
        <v>2021</v>
      </c>
      <c r="B36" s="89">
        <v>2</v>
      </c>
      <c r="C36" s="90">
        <v>44287</v>
      </c>
      <c r="D36" s="90">
        <v>44377</v>
      </c>
      <c r="E36" s="66"/>
      <c r="F36" s="73"/>
      <c r="G36" s="73"/>
      <c r="H36" s="111"/>
      <c r="I36" s="110"/>
    </row>
    <row r="37" spans="1:9" ht="15.5" x14ac:dyDescent="0.35">
      <c r="A37" s="64">
        <v>2021</v>
      </c>
      <c r="B37" s="64">
        <v>3</v>
      </c>
      <c r="C37" s="65">
        <v>44378</v>
      </c>
      <c r="D37" s="65">
        <v>44469</v>
      </c>
      <c r="E37" s="66"/>
      <c r="F37" s="73"/>
      <c r="G37" s="73"/>
      <c r="H37" s="111"/>
      <c r="I37" s="110"/>
    </row>
    <row r="38" spans="1:9" ht="15.5" x14ac:dyDescent="0.35">
      <c r="A38" s="64">
        <v>2021</v>
      </c>
      <c r="B38" s="64">
        <v>4</v>
      </c>
      <c r="C38" s="65">
        <v>44470</v>
      </c>
      <c r="D38" s="65">
        <v>44561</v>
      </c>
      <c r="E38" s="66"/>
      <c r="F38" s="73"/>
      <c r="G38" s="73"/>
      <c r="H38" s="111"/>
      <c r="I38" s="110"/>
    </row>
    <row r="39" spans="1:9" ht="15.5" x14ac:dyDescent="0.35">
      <c r="A39" s="64">
        <v>2022</v>
      </c>
      <c r="B39" s="64">
        <v>1</v>
      </c>
      <c r="C39" s="65">
        <v>44562</v>
      </c>
      <c r="D39" s="65">
        <v>44651</v>
      </c>
      <c r="E39" s="66"/>
      <c r="F39" s="73"/>
      <c r="G39" s="73"/>
      <c r="H39" s="111"/>
      <c r="I39" s="110"/>
    </row>
    <row r="40" spans="1:9" ht="15.5" x14ac:dyDescent="0.35">
      <c r="A40" s="64">
        <v>2022</v>
      </c>
      <c r="B40" s="64">
        <v>2</v>
      </c>
      <c r="C40" s="65">
        <v>44652</v>
      </c>
      <c r="D40" s="65">
        <v>44742</v>
      </c>
      <c r="E40" s="66">
        <f>$E$58/11</f>
        <v>50015.272727272728</v>
      </c>
      <c r="F40" s="73">
        <v>0</v>
      </c>
      <c r="G40" s="73">
        <f t="shared" ref="G40:G41" si="7">G39+E40</f>
        <v>50015.272727272728</v>
      </c>
      <c r="H40" s="111">
        <f t="shared" ref="H40:H41" si="8">SUM(H39+F40)</f>
        <v>0</v>
      </c>
      <c r="I40" s="110">
        <f t="shared" ref="I40:I54" si="9">H40/G40</f>
        <v>0</v>
      </c>
    </row>
    <row r="41" spans="1:9" ht="15.5" x14ac:dyDescent="0.35">
      <c r="A41" s="64">
        <v>2022</v>
      </c>
      <c r="B41" s="64">
        <v>3</v>
      </c>
      <c r="C41" s="65">
        <v>44743</v>
      </c>
      <c r="D41" s="65">
        <v>44834</v>
      </c>
      <c r="E41" s="66">
        <f t="shared" ref="E41:E50" si="10">$E$58/11</f>
        <v>50015.272727272728</v>
      </c>
      <c r="F41" s="73">
        <v>18410</v>
      </c>
      <c r="G41" s="73">
        <f t="shared" si="7"/>
        <v>100030.54545454546</v>
      </c>
      <c r="H41" s="111">
        <f t="shared" si="8"/>
        <v>18410</v>
      </c>
      <c r="I41" s="110">
        <f t="shared" si="9"/>
        <v>0.18404378298992308</v>
      </c>
    </row>
    <row r="42" spans="1:9" ht="15.5" x14ac:dyDescent="0.35">
      <c r="A42" s="64">
        <v>2022</v>
      </c>
      <c r="B42" s="64">
        <v>4</v>
      </c>
      <c r="C42" s="65">
        <v>44835</v>
      </c>
      <c r="D42" s="65">
        <v>44926</v>
      </c>
      <c r="E42" s="66">
        <f t="shared" si="10"/>
        <v>50015.272727272728</v>
      </c>
      <c r="F42" s="73">
        <v>31331.54</v>
      </c>
      <c r="G42" s="73">
        <f>G41+E42</f>
        <v>150045.81818181818</v>
      </c>
      <c r="H42" s="111">
        <f>SUM(H41+F42)</f>
        <v>49741.54</v>
      </c>
      <c r="I42" s="110">
        <f t="shared" si="9"/>
        <v>0.3315090057340061</v>
      </c>
    </row>
    <row r="43" spans="1:9" ht="15.5" x14ac:dyDescent="0.35">
      <c r="A43" s="64">
        <v>2023</v>
      </c>
      <c r="B43" s="64">
        <v>1</v>
      </c>
      <c r="C43" s="65">
        <v>44927</v>
      </c>
      <c r="D43" s="65">
        <v>45016</v>
      </c>
      <c r="E43" s="66">
        <f t="shared" si="10"/>
        <v>50015.272727272728</v>
      </c>
      <c r="F43" s="73">
        <v>26773.05</v>
      </c>
      <c r="G43" s="73">
        <f t="shared" ref="G43:G49" si="11">G42+E43</f>
        <v>200061.09090909091</v>
      </c>
      <c r="H43" s="111">
        <f t="shared" ref="H43:H56" si="12">SUM(H42+F43)</f>
        <v>76514.59</v>
      </c>
      <c r="I43" s="110">
        <f t="shared" si="9"/>
        <v>0.38245612703755943</v>
      </c>
    </row>
    <row r="44" spans="1:9" ht="15.5" x14ac:dyDescent="0.35">
      <c r="A44" s="64">
        <v>2023</v>
      </c>
      <c r="B44" s="64">
        <v>2</v>
      </c>
      <c r="C44" s="65">
        <v>45017</v>
      </c>
      <c r="D44" s="65">
        <v>45107</v>
      </c>
      <c r="E44" s="66">
        <f t="shared" si="10"/>
        <v>50015.272727272728</v>
      </c>
      <c r="F44" s="73">
        <v>35153.9</v>
      </c>
      <c r="G44" s="73">
        <f t="shared" si="11"/>
        <v>250076.36363636365</v>
      </c>
      <c r="H44" s="111">
        <f t="shared" si="12"/>
        <v>111668.48999999999</v>
      </c>
      <c r="I44" s="110">
        <f t="shared" si="9"/>
        <v>0.4465375630716435</v>
      </c>
    </row>
    <row r="45" spans="1:9" ht="15.5" x14ac:dyDescent="0.35">
      <c r="A45" s="64">
        <v>2023</v>
      </c>
      <c r="B45" s="64">
        <v>3</v>
      </c>
      <c r="C45" s="65">
        <v>45108</v>
      </c>
      <c r="D45" s="65">
        <v>45199</v>
      </c>
      <c r="E45" s="66">
        <f t="shared" si="10"/>
        <v>50015.272727272728</v>
      </c>
      <c r="F45" s="73">
        <v>69280.679999999993</v>
      </c>
      <c r="G45" s="73">
        <f t="shared" si="11"/>
        <v>300091.63636363635</v>
      </c>
      <c r="H45" s="111">
        <f t="shared" si="12"/>
        <v>180949.16999999998</v>
      </c>
      <c r="I45" s="110">
        <f t="shared" si="9"/>
        <v>0.60297971710459353</v>
      </c>
    </row>
    <row r="46" spans="1:9" ht="15.5" x14ac:dyDescent="0.35">
      <c r="A46" s="64">
        <v>2023</v>
      </c>
      <c r="B46" s="64">
        <v>4</v>
      </c>
      <c r="C46" s="65">
        <v>45200</v>
      </c>
      <c r="D46" s="65">
        <v>45291</v>
      </c>
      <c r="E46" s="66">
        <f t="shared" si="10"/>
        <v>50015.272727272728</v>
      </c>
      <c r="F46" s="73">
        <v>58424.99</v>
      </c>
      <c r="G46" s="73">
        <f t="shared" si="11"/>
        <v>350106.90909090906</v>
      </c>
      <c r="H46" s="111">
        <f t="shared" si="12"/>
        <v>239374.15999999997</v>
      </c>
      <c r="I46" s="110">
        <f t="shared" si="9"/>
        <v>0.68371732686327502</v>
      </c>
    </row>
    <row r="47" spans="1:9" ht="15.5" x14ac:dyDescent="0.35">
      <c r="A47" s="64">
        <v>2024</v>
      </c>
      <c r="B47" s="64">
        <v>1</v>
      </c>
      <c r="C47" s="65">
        <v>45292</v>
      </c>
      <c r="D47" s="65">
        <v>45382</v>
      </c>
      <c r="E47" s="66">
        <f t="shared" si="10"/>
        <v>50015.272727272728</v>
      </c>
      <c r="F47" s="73">
        <v>43154.79</v>
      </c>
      <c r="G47" s="73">
        <f t="shared" si="11"/>
        <v>400122.18181818177</v>
      </c>
      <c r="H47" s="111">
        <f t="shared" si="12"/>
        <v>282528.94999999995</v>
      </c>
      <c r="I47" s="110">
        <f t="shared" si="9"/>
        <v>0.70610669150150496</v>
      </c>
    </row>
    <row r="48" spans="1:9" ht="15.5" x14ac:dyDescent="0.35">
      <c r="A48" s="64">
        <v>2024</v>
      </c>
      <c r="B48" s="64">
        <v>2</v>
      </c>
      <c r="C48" s="65">
        <v>45383</v>
      </c>
      <c r="D48" s="65">
        <v>45473</v>
      </c>
      <c r="E48" s="66">
        <f t="shared" si="10"/>
        <v>50015.272727272728</v>
      </c>
      <c r="F48" s="73">
        <v>3533.11</v>
      </c>
      <c r="G48" s="73">
        <f t="shared" si="11"/>
        <v>450137.45454545447</v>
      </c>
      <c r="H48" s="111">
        <f t="shared" si="12"/>
        <v>286062.05999999994</v>
      </c>
      <c r="I48" s="110">
        <f t="shared" si="9"/>
        <v>0.63549935050142259</v>
      </c>
    </row>
    <row r="49" spans="1:9" ht="15.5" x14ac:dyDescent="0.35">
      <c r="A49" s="64">
        <v>2024</v>
      </c>
      <c r="B49" s="64">
        <v>3</v>
      </c>
      <c r="C49" s="65">
        <v>45474</v>
      </c>
      <c r="D49" s="65">
        <v>45565</v>
      </c>
      <c r="E49" s="66">
        <f t="shared" si="10"/>
        <v>50015.272727272728</v>
      </c>
      <c r="F49" s="73">
        <v>74993.38</v>
      </c>
      <c r="G49" s="73">
        <f t="shared" si="11"/>
        <v>500152.72727272718</v>
      </c>
      <c r="H49" s="111">
        <f t="shared" si="12"/>
        <v>361055.43999999994</v>
      </c>
      <c r="I49" s="149">
        <f t="shared" si="9"/>
        <v>0.72189037530354372</v>
      </c>
    </row>
    <row r="50" spans="1:9" ht="15.5" x14ac:dyDescent="0.35">
      <c r="A50" s="1">
        <v>2024</v>
      </c>
      <c r="B50" s="1">
        <v>4</v>
      </c>
      <c r="C50" s="2">
        <v>45566</v>
      </c>
      <c r="D50" s="2">
        <v>45657</v>
      </c>
      <c r="E50" s="147">
        <f t="shared" si="10"/>
        <v>50015.272727272728</v>
      </c>
      <c r="F50" s="18"/>
      <c r="G50" s="18">
        <f>G49+E50</f>
        <v>550167.99999999988</v>
      </c>
      <c r="H50" s="50">
        <f t="shared" si="12"/>
        <v>361055.43999999994</v>
      </c>
      <c r="I50" s="53">
        <f t="shared" si="9"/>
        <v>0.65626397754867605</v>
      </c>
    </row>
    <row r="51" spans="1:9" ht="15.5" x14ac:dyDescent="0.35">
      <c r="A51" s="1">
        <v>2025</v>
      </c>
      <c r="B51" s="1">
        <v>1</v>
      </c>
      <c r="C51" s="2">
        <v>45658</v>
      </c>
      <c r="D51" s="2">
        <v>45747</v>
      </c>
      <c r="E51" s="147"/>
      <c r="F51" s="18"/>
      <c r="G51" s="18">
        <f t="shared" ref="G51:G57" si="13">G50+E51</f>
        <v>550167.99999999988</v>
      </c>
      <c r="H51" s="50">
        <f t="shared" si="12"/>
        <v>361055.43999999994</v>
      </c>
      <c r="I51" s="53">
        <f t="shared" si="9"/>
        <v>0.65626397754867605</v>
      </c>
    </row>
    <row r="52" spans="1:9" ht="15.5" x14ac:dyDescent="0.35">
      <c r="A52" s="1">
        <v>2025</v>
      </c>
      <c r="B52" s="1">
        <v>2</v>
      </c>
      <c r="C52" s="2">
        <v>45748</v>
      </c>
      <c r="D52" s="2">
        <v>45838</v>
      </c>
      <c r="E52" s="147"/>
      <c r="F52" s="18"/>
      <c r="G52" s="18">
        <f t="shared" si="13"/>
        <v>550167.99999999988</v>
      </c>
      <c r="H52" s="50">
        <f t="shared" si="12"/>
        <v>361055.43999999994</v>
      </c>
      <c r="I52" s="53">
        <f t="shared" si="9"/>
        <v>0.65626397754867605</v>
      </c>
    </row>
    <row r="53" spans="1:9" ht="15.5" x14ac:dyDescent="0.35">
      <c r="A53" s="1">
        <v>2025</v>
      </c>
      <c r="B53" s="1">
        <v>3</v>
      </c>
      <c r="C53" s="2">
        <v>45839</v>
      </c>
      <c r="D53" s="2">
        <v>45930</v>
      </c>
      <c r="E53" s="147"/>
      <c r="F53" s="18"/>
      <c r="G53" s="18">
        <f t="shared" si="13"/>
        <v>550167.99999999988</v>
      </c>
      <c r="H53" s="50">
        <f t="shared" si="12"/>
        <v>361055.43999999994</v>
      </c>
      <c r="I53" s="53">
        <f t="shared" si="9"/>
        <v>0.65626397754867605</v>
      </c>
    </row>
    <row r="54" spans="1:9" ht="15.5" x14ac:dyDescent="0.35">
      <c r="A54" s="1">
        <v>2025</v>
      </c>
      <c r="B54" s="1">
        <v>4</v>
      </c>
      <c r="C54" s="2">
        <v>45931</v>
      </c>
      <c r="D54" s="2">
        <v>46022</v>
      </c>
      <c r="E54" s="147"/>
      <c r="F54" s="18"/>
      <c r="G54" s="18">
        <f t="shared" si="13"/>
        <v>550167.99999999988</v>
      </c>
      <c r="H54" s="50">
        <f t="shared" si="12"/>
        <v>361055.43999999994</v>
      </c>
      <c r="I54" s="53">
        <f t="shared" si="9"/>
        <v>0.65626397754867605</v>
      </c>
    </row>
    <row r="55" spans="1:9" ht="15.5" x14ac:dyDescent="0.35">
      <c r="A55" s="1">
        <v>2026</v>
      </c>
      <c r="B55" s="1">
        <v>1</v>
      </c>
      <c r="C55" s="2">
        <v>46023</v>
      </c>
      <c r="D55" s="2">
        <v>46112</v>
      </c>
      <c r="E55" s="147"/>
      <c r="F55" s="18"/>
      <c r="G55" s="18">
        <f t="shared" si="13"/>
        <v>550167.99999999988</v>
      </c>
      <c r="H55" s="50">
        <f t="shared" si="12"/>
        <v>361055.43999999994</v>
      </c>
      <c r="I55" s="53">
        <f>H55/G55</f>
        <v>0.65626397754867605</v>
      </c>
    </row>
    <row r="56" spans="1:9" ht="15.5" x14ac:dyDescent="0.35">
      <c r="A56" s="1">
        <v>2026</v>
      </c>
      <c r="B56" s="1">
        <v>2</v>
      </c>
      <c r="C56" s="2">
        <v>46113</v>
      </c>
      <c r="D56" s="2">
        <v>46203</v>
      </c>
      <c r="E56" s="147"/>
      <c r="F56" s="18"/>
      <c r="G56" s="18">
        <f t="shared" si="13"/>
        <v>550167.99999999988</v>
      </c>
      <c r="H56" s="50">
        <f t="shared" si="12"/>
        <v>361055.43999999994</v>
      </c>
      <c r="I56" s="53">
        <f t="shared" ref="I56:I57" si="14">H56/G56</f>
        <v>0.65626397754867605</v>
      </c>
    </row>
    <row r="57" spans="1:9" ht="15.5" x14ac:dyDescent="0.35">
      <c r="A57" s="1">
        <v>2026</v>
      </c>
      <c r="B57" s="1">
        <v>3</v>
      </c>
      <c r="C57" s="2">
        <v>46204</v>
      </c>
      <c r="D57" s="2">
        <v>46295</v>
      </c>
      <c r="E57" s="147"/>
      <c r="F57" s="18"/>
      <c r="G57" s="18">
        <f t="shared" si="13"/>
        <v>550167.99999999988</v>
      </c>
      <c r="H57" s="50">
        <f>SUM(H56+F57)</f>
        <v>361055.43999999994</v>
      </c>
      <c r="I57" s="53">
        <f t="shared" si="14"/>
        <v>0.65626397754867605</v>
      </c>
    </row>
    <row r="58" spans="1:9" ht="15" thickBot="1" x14ac:dyDescent="0.4">
      <c r="A58" s="36" t="s">
        <v>12</v>
      </c>
      <c r="B58" s="36"/>
      <c r="C58" s="36"/>
      <c r="D58" s="37"/>
      <c r="E58" s="38">
        <v>550168</v>
      </c>
      <c r="F58" s="34">
        <f>SUM(F34:F57)</f>
        <v>361055.43999999994</v>
      </c>
      <c r="G58" s="34">
        <f>G57</f>
        <v>550167.99999999988</v>
      </c>
      <c r="H58" s="35">
        <f>H57</f>
        <v>361055.43999999994</v>
      </c>
      <c r="I58" s="120">
        <f>H58/G58</f>
        <v>0.65626397754867605</v>
      </c>
    </row>
    <row r="59" spans="1:9" ht="15" thickTop="1" x14ac:dyDescent="0.35"/>
    <row r="61" spans="1:9" x14ac:dyDescent="0.35">
      <c r="A61" s="216" t="s">
        <v>128</v>
      </c>
      <c r="B61" s="216"/>
      <c r="C61" s="216"/>
      <c r="D61" s="216"/>
      <c r="E61" s="217"/>
      <c r="F61" s="217"/>
      <c r="G61" s="217"/>
      <c r="H61" s="217"/>
      <c r="I61" s="217"/>
    </row>
    <row r="62" spans="1:9" ht="15" thickBot="1" x14ac:dyDescent="0.4">
      <c r="A62" s="202" t="s">
        <v>0</v>
      </c>
      <c r="B62" s="204"/>
      <c r="C62" s="204"/>
      <c r="D62" s="204"/>
      <c r="E62" s="193" t="s">
        <v>24</v>
      </c>
      <c r="F62" s="193"/>
      <c r="G62" s="193"/>
      <c r="H62" s="193"/>
      <c r="I62" s="194"/>
    </row>
    <row r="63" spans="1:9" ht="47" thickTop="1" x14ac:dyDescent="0.35">
      <c r="A63" s="7" t="s">
        <v>1</v>
      </c>
      <c r="B63" s="7" t="s">
        <v>2</v>
      </c>
      <c r="C63" s="7" t="s">
        <v>3</v>
      </c>
      <c r="D63" s="9" t="s">
        <v>9</v>
      </c>
      <c r="E63" s="19" t="s">
        <v>4</v>
      </c>
      <c r="F63" s="20" t="s">
        <v>6</v>
      </c>
      <c r="G63" s="20" t="s">
        <v>5</v>
      </c>
      <c r="H63" s="48" t="s">
        <v>7</v>
      </c>
      <c r="I63" s="51" t="s">
        <v>8</v>
      </c>
    </row>
    <row r="64" spans="1:9" ht="15.5" x14ac:dyDescent="0.35">
      <c r="A64" s="64">
        <v>2020</v>
      </c>
      <c r="B64" s="64">
        <v>4</v>
      </c>
      <c r="C64" s="65">
        <v>44105</v>
      </c>
      <c r="D64" s="65">
        <v>44196</v>
      </c>
      <c r="E64" s="66"/>
      <c r="F64" s="66"/>
      <c r="G64" s="66"/>
      <c r="H64" s="70"/>
      <c r="I64" s="71"/>
    </row>
    <row r="65" spans="1:9" ht="15.5" x14ac:dyDescent="0.35">
      <c r="A65" s="64">
        <v>2021</v>
      </c>
      <c r="B65" s="64">
        <v>1</v>
      </c>
      <c r="C65" s="65">
        <v>44197</v>
      </c>
      <c r="D65" s="65">
        <v>44286</v>
      </c>
      <c r="E65" s="66">
        <f>$E$88/7</f>
        <v>5467.4285714285716</v>
      </c>
      <c r="F65" s="66">
        <v>26417</v>
      </c>
      <c r="G65" s="66">
        <f>E65</f>
        <v>5467.4285714285716</v>
      </c>
      <c r="H65" s="70">
        <f>F65</f>
        <v>26417</v>
      </c>
      <c r="I65" s="71">
        <f>H65/G65</f>
        <v>4.8317046404682271</v>
      </c>
    </row>
    <row r="66" spans="1:9" ht="15.5" x14ac:dyDescent="0.35">
      <c r="A66" s="64">
        <v>2021</v>
      </c>
      <c r="B66" s="64">
        <v>2</v>
      </c>
      <c r="C66" s="65">
        <v>44287</v>
      </c>
      <c r="D66" s="65">
        <v>44377</v>
      </c>
      <c r="E66" s="66">
        <f t="shared" ref="E66:E71" si="15">$E$88/7</f>
        <v>5467.4285714285716</v>
      </c>
      <c r="F66" s="73">
        <v>11855</v>
      </c>
      <c r="G66" s="73">
        <f>G65+E66</f>
        <v>10934.857142857143</v>
      </c>
      <c r="H66" s="111">
        <f>H65+F66</f>
        <v>38272</v>
      </c>
      <c r="I66" s="110">
        <f>H66/G66</f>
        <v>3.5</v>
      </c>
    </row>
    <row r="67" spans="1:9" ht="15.5" x14ac:dyDescent="0.35">
      <c r="A67" s="64">
        <v>2021</v>
      </c>
      <c r="B67" s="64">
        <v>3</v>
      </c>
      <c r="C67" s="65">
        <v>44378</v>
      </c>
      <c r="D67" s="65">
        <v>44469</v>
      </c>
      <c r="E67" s="66">
        <f t="shared" si="15"/>
        <v>5467.4285714285716</v>
      </c>
      <c r="F67" s="73">
        <v>0</v>
      </c>
      <c r="G67" s="73">
        <f t="shared" ref="G67:G68" si="16">G66+E67</f>
        <v>16402.285714285714</v>
      </c>
      <c r="H67" s="111">
        <f t="shared" ref="H67:H71" si="17">SUM(H66+F67)</f>
        <v>38272</v>
      </c>
      <c r="I67" s="110">
        <f t="shared" ref="I67:I84" si="18">H67/G67</f>
        <v>2.3333333333333335</v>
      </c>
    </row>
    <row r="68" spans="1:9" ht="15.5" x14ac:dyDescent="0.35">
      <c r="A68" s="64">
        <v>2022</v>
      </c>
      <c r="B68" s="64">
        <v>4</v>
      </c>
      <c r="C68" s="65">
        <v>44470</v>
      </c>
      <c r="D68" s="65">
        <v>44561</v>
      </c>
      <c r="E68" s="66">
        <f t="shared" si="15"/>
        <v>5467.4285714285716</v>
      </c>
      <c r="F68" s="73">
        <v>0</v>
      </c>
      <c r="G68" s="73">
        <f t="shared" si="16"/>
        <v>21869.714285714286</v>
      </c>
      <c r="H68" s="111">
        <f t="shared" si="17"/>
        <v>38272</v>
      </c>
      <c r="I68" s="110">
        <f t="shared" si="18"/>
        <v>1.75</v>
      </c>
    </row>
    <row r="69" spans="1:9" ht="15.5" x14ac:dyDescent="0.35">
      <c r="A69" s="64">
        <v>2022</v>
      </c>
      <c r="B69" s="64">
        <v>1</v>
      </c>
      <c r="C69" s="65">
        <v>44562</v>
      </c>
      <c r="D69" s="65">
        <v>44651</v>
      </c>
      <c r="E69" s="66">
        <f t="shared" si="15"/>
        <v>5467.4285714285716</v>
      </c>
      <c r="F69" s="73">
        <v>0</v>
      </c>
      <c r="G69" s="73">
        <f>G68+E69</f>
        <v>27337.142857142859</v>
      </c>
      <c r="H69" s="111">
        <f t="shared" si="17"/>
        <v>38272</v>
      </c>
      <c r="I69" s="110">
        <f t="shared" si="18"/>
        <v>1.4</v>
      </c>
    </row>
    <row r="70" spans="1:9" ht="15.5" x14ac:dyDescent="0.35">
      <c r="A70" s="64">
        <v>2022</v>
      </c>
      <c r="B70" s="64">
        <v>2</v>
      </c>
      <c r="C70" s="65">
        <v>44652</v>
      </c>
      <c r="D70" s="65">
        <v>44742</v>
      </c>
      <c r="E70" s="66">
        <f t="shared" si="15"/>
        <v>5467.4285714285716</v>
      </c>
      <c r="F70" s="73">
        <v>0</v>
      </c>
      <c r="G70" s="73">
        <f t="shared" ref="G70:G71" si="19">G69+E70</f>
        <v>32804.571428571428</v>
      </c>
      <c r="H70" s="111">
        <f t="shared" si="17"/>
        <v>38272</v>
      </c>
      <c r="I70" s="110">
        <f t="shared" si="18"/>
        <v>1.1666666666666667</v>
      </c>
    </row>
    <row r="71" spans="1:9" ht="15.5" x14ac:dyDescent="0.35">
      <c r="A71" s="64">
        <v>2022</v>
      </c>
      <c r="B71" s="64">
        <v>3</v>
      </c>
      <c r="C71" s="65">
        <v>44743</v>
      </c>
      <c r="D71" s="65">
        <v>44834</v>
      </c>
      <c r="E71" s="66">
        <f t="shared" si="15"/>
        <v>5467.4285714285716</v>
      </c>
      <c r="F71" s="73">
        <v>0</v>
      </c>
      <c r="G71" s="73">
        <f t="shared" si="19"/>
        <v>38272</v>
      </c>
      <c r="H71" s="111">
        <f t="shared" si="17"/>
        <v>38272</v>
      </c>
      <c r="I71" s="110">
        <f t="shared" si="18"/>
        <v>1</v>
      </c>
    </row>
    <row r="72" spans="1:9" ht="15.5" x14ac:dyDescent="0.35">
      <c r="A72" s="64">
        <v>2022</v>
      </c>
      <c r="B72" s="64">
        <v>4</v>
      </c>
      <c r="C72" s="65">
        <v>44835</v>
      </c>
      <c r="D72" s="65">
        <v>44926</v>
      </c>
      <c r="E72" s="66"/>
      <c r="F72" s="73"/>
      <c r="G72" s="73">
        <f>G71+E72</f>
        <v>38272</v>
      </c>
      <c r="H72" s="111">
        <f>SUM(H71+F72)</f>
        <v>38272</v>
      </c>
      <c r="I72" s="110">
        <f t="shared" si="18"/>
        <v>1</v>
      </c>
    </row>
    <row r="73" spans="1:9" ht="15.5" x14ac:dyDescent="0.35">
      <c r="A73" s="64">
        <v>2023</v>
      </c>
      <c r="B73" s="64">
        <v>1</v>
      </c>
      <c r="C73" s="65">
        <v>44927</v>
      </c>
      <c r="D73" s="65">
        <v>45016</v>
      </c>
      <c r="E73" s="66"/>
      <c r="F73" s="73"/>
      <c r="G73" s="73">
        <f t="shared" ref="G73:G79" si="20">G72+E73</f>
        <v>38272</v>
      </c>
      <c r="H73" s="111">
        <f t="shared" ref="H73:H86" si="21">SUM(H72+F73)</f>
        <v>38272</v>
      </c>
      <c r="I73" s="110">
        <f t="shared" si="18"/>
        <v>1</v>
      </c>
    </row>
    <row r="74" spans="1:9" ht="15.5" x14ac:dyDescent="0.35">
      <c r="A74" s="64">
        <v>2023</v>
      </c>
      <c r="B74" s="64">
        <v>2</v>
      </c>
      <c r="C74" s="65">
        <v>45017</v>
      </c>
      <c r="D74" s="65">
        <v>45107</v>
      </c>
      <c r="E74" s="66"/>
      <c r="F74" s="73"/>
      <c r="G74" s="73">
        <f t="shared" si="20"/>
        <v>38272</v>
      </c>
      <c r="H74" s="111">
        <f t="shared" si="21"/>
        <v>38272</v>
      </c>
      <c r="I74" s="110">
        <f t="shared" si="18"/>
        <v>1</v>
      </c>
    </row>
    <row r="75" spans="1:9" ht="15.5" x14ac:dyDescent="0.35">
      <c r="A75" s="64">
        <v>2023</v>
      </c>
      <c r="B75" s="64">
        <v>3</v>
      </c>
      <c r="C75" s="65">
        <v>45108</v>
      </c>
      <c r="D75" s="65">
        <v>45199</v>
      </c>
      <c r="E75" s="66"/>
      <c r="F75" s="73"/>
      <c r="G75" s="73">
        <f t="shared" si="20"/>
        <v>38272</v>
      </c>
      <c r="H75" s="111">
        <f t="shared" si="21"/>
        <v>38272</v>
      </c>
      <c r="I75" s="110">
        <f t="shared" si="18"/>
        <v>1</v>
      </c>
    </row>
    <row r="76" spans="1:9" ht="15.5" x14ac:dyDescent="0.35">
      <c r="A76" s="64">
        <v>2023</v>
      </c>
      <c r="B76" s="64">
        <v>4</v>
      </c>
      <c r="C76" s="65">
        <v>45200</v>
      </c>
      <c r="D76" s="65">
        <v>45291</v>
      </c>
      <c r="E76" s="66"/>
      <c r="F76" s="73"/>
      <c r="G76" s="73">
        <f t="shared" si="20"/>
        <v>38272</v>
      </c>
      <c r="H76" s="111">
        <f t="shared" si="21"/>
        <v>38272</v>
      </c>
      <c r="I76" s="110">
        <f t="shared" si="18"/>
        <v>1</v>
      </c>
    </row>
    <row r="77" spans="1:9" ht="15.5" x14ac:dyDescent="0.35">
      <c r="A77" s="64">
        <v>2024</v>
      </c>
      <c r="B77" s="64">
        <v>1</v>
      </c>
      <c r="C77" s="65">
        <v>45292</v>
      </c>
      <c r="D77" s="65">
        <v>45382</v>
      </c>
      <c r="E77" s="66"/>
      <c r="F77" s="73"/>
      <c r="G77" s="73">
        <f t="shared" si="20"/>
        <v>38272</v>
      </c>
      <c r="H77" s="111">
        <f t="shared" si="21"/>
        <v>38272</v>
      </c>
      <c r="I77" s="110">
        <f t="shared" si="18"/>
        <v>1</v>
      </c>
    </row>
    <row r="78" spans="1:9" ht="15.5" x14ac:dyDescent="0.35">
      <c r="A78" s="64">
        <v>2024</v>
      </c>
      <c r="B78" s="64">
        <v>2</v>
      </c>
      <c r="C78" s="65">
        <v>45383</v>
      </c>
      <c r="D78" s="65">
        <v>45473</v>
      </c>
      <c r="E78" s="66"/>
      <c r="F78" s="73"/>
      <c r="G78" s="73">
        <f t="shared" si="20"/>
        <v>38272</v>
      </c>
      <c r="H78" s="111">
        <f t="shared" si="21"/>
        <v>38272</v>
      </c>
      <c r="I78" s="110">
        <f t="shared" si="18"/>
        <v>1</v>
      </c>
    </row>
    <row r="79" spans="1:9" ht="15.5" x14ac:dyDescent="0.35">
      <c r="A79" s="64">
        <v>2024</v>
      </c>
      <c r="B79" s="64">
        <v>3</v>
      </c>
      <c r="C79" s="65">
        <v>45474</v>
      </c>
      <c r="D79" s="65">
        <v>45565</v>
      </c>
      <c r="E79" s="66"/>
      <c r="F79" s="73"/>
      <c r="G79" s="73">
        <f t="shared" si="20"/>
        <v>38272</v>
      </c>
      <c r="H79" s="111">
        <f t="shared" si="21"/>
        <v>38272</v>
      </c>
      <c r="I79" s="149">
        <f t="shared" si="18"/>
        <v>1</v>
      </c>
    </row>
    <row r="80" spans="1:9" ht="15.5" x14ac:dyDescent="0.35">
      <c r="A80" s="64">
        <v>2024</v>
      </c>
      <c r="B80" s="64">
        <v>4</v>
      </c>
      <c r="C80" s="65">
        <v>45566</v>
      </c>
      <c r="D80" s="65">
        <v>45657</v>
      </c>
      <c r="E80" s="66"/>
      <c r="F80" s="73"/>
      <c r="G80" s="73">
        <f>G79+E80</f>
        <v>38272</v>
      </c>
      <c r="H80" s="111">
        <f t="shared" si="21"/>
        <v>38272</v>
      </c>
      <c r="I80" s="149">
        <f t="shared" si="18"/>
        <v>1</v>
      </c>
    </row>
    <row r="81" spans="1:9" ht="15.5" x14ac:dyDescent="0.35">
      <c r="A81" s="64">
        <v>2025</v>
      </c>
      <c r="B81" s="64">
        <v>1</v>
      </c>
      <c r="C81" s="65">
        <v>45658</v>
      </c>
      <c r="D81" s="65">
        <v>45747</v>
      </c>
      <c r="E81" s="66"/>
      <c r="F81" s="73"/>
      <c r="G81" s="73">
        <f t="shared" ref="G81:G87" si="22">G80+E81</f>
        <v>38272</v>
      </c>
      <c r="H81" s="111">
        <f t="shared" si="21"/>
        <v>38272</v>
      </c>
      <c r="I81" s="149">
        <f t="shared" si="18"/>
        <v>1</v>
      </c>
    </row>
    <row r="82" spans="1:9" ht="15.5" x14ac:dyDescent="0.35">
      <c r="A82" s="64">
        <v>2025</v>
      </c>
      <c r="B82" s="64">
        <v>2</v>
      </c>
      <c r="C82" s="65">
        <v>45748</v>
      </c>
      <c r="D82" s="65">
        <v>45838</v>
      </c>
      <c r="E82" s="66"/>
      <c r="F82" s="73"/>
      <c r="G82" s="73">
        <f t="shared" si="22"/>
        <v>38272</v>
      </c>
      <c r="H82" s="111">
        <f t="shared" si="21"/>
        <v>38272</v>
      </c>
      <c r="I82" s="149">
        <f t="shared" si="18"/>
        <v>1</v>
      </c>
    </row>
    <row r="83" spans="1:9" ht="15.5" x14ac:dyDescent="0.35">
      <c r="A83" s="64">
        <v>2025</v>
      </c>
      <c r="B83" s="64">
        <v>3</v>
      </c>
      <c r="C83" s="65">
        <v>45839</v>
      </c>
      <c r="D83" s="65">
        <v>45930</v>
      </c>
      <c r="E83" s="66"/>
      <c r="F83" s="73"/>
      <c r="G83" s="73">
        <f t="shared" si="22"/>
        <v>38272</v>
      </c>
      <c r="H83" s="111">
        <f t="shared" si="21"/>
        <v>38272</v>
      </c>
      <c r="I83" s="149">
        <f t="shared" si="18"/>
        <v>1</v>
      </c>
    </row>
    <row r="84" spans="1:9" ht="15.5" x14ac:dyDescent="0.35">
      <c r="A84" s="64">
        <v>2025</v>
      </c>
      <c r="B84" s="64">
        <v>4</v>
      </c>
      <c r="C84" s="65">
        <v>45931</v>
      </c>
      <c r="D84" s="65">
        <v>46022</v>
      </c>
      <c r="E84" s="66"/>
      <c r="F84" s="73"/>
      <c r="G84" s="73">
        <f t="shared" si="22"/>
        <v>38272</v>
      </c>
      <c r="H84" s="111">
        <f t="shared" si="21"/>
        <v>38272</v>
      </c>
      <c r="I84" s="149">
        <f t="shared" si="18"/>
        <v>1</v>
      </c>
    </row>
    <row r="85" spans="1:9" ht="15.5" x14ac:dyDescent="0.35">
      <c r="A85" s="64">
        <v>2026</v>
      </c>
      <c r="B85" s="64">
        <v>1</v>
      </c>
      <c r="C85" s="65">
        <v>46023</v>
      </c>
      <c r="D85" s="65">
        <v>46112</v>
      </c>
      <c r="E85" s="66"/>
      <c r="F85" s="73"/>
      <c r="G85" s="73">
        <f t="shared" si="22"/>
        <v>38272</v>
      </c>
      <c r="H85" s="111">
        <f t="shared" si="21"/>
        <v>38272</v>
      </c>
      <c r="I85" s="149">
        <f>H85/G85</f>
        <v>1</v>
      </c>
    </row>
    <row r="86" spans="1:9" ht="15.5" x14ac:dyDescent="0.35">
      <c r="A86" s="64">
        <v>2026</v>
      </c>
      <c r="B86" s="64">
        <v>2</v>
      </c>
      <c r="C86" s="65">
        <v>46113</v>
      </c>
      <c r="D86" s="65">
        <v>46203</v>
      </c>
      <c r="E86" s="66"/>
      <c r="F86" s="73"/>
      <c r="G86" s="73">
        <f t="shared" si="22"/>
        <v>38272</v>
      </c>
      <c r="H86" s="111">
        <f t="shared" si="21"/>
        <v>38272</v>
      </c>
      <c r="I86" s="149">
        <f t="shared" ref="I86:I87" si="23">H86/G86</f>
        <v>1</v>
      </c>
    </row>
    <row r="87" spans="1:9" ht="15.5" x14ac:dyDescent="0.35">
      <c r="A87" s="64">
        <v>2026</v>
      </c>
      <c r="B87" s="64">
        <v>3</v>
      </c>
      <c r="C87" s="65">
        <v>46204</v>
      </c>
      <c r="D87" s="65">
        <v>46295</v>
      </c>
      <c r="E87" s="66"/>
      <c r="F87" s="73"/>
      <c r="G87" s="73">
        <f t="shared" si="22"/>
        <v>38272</v>
      </c>
      <c r="H87" s="111">
        <f>SUM(H86+F87)</f>
        <v>38272</v>
      </c>
      <c r="I87" s="149">
        <f t="shared" si="23"/>
        <v>1</v>
      </c>
    </row>
    <row r="88" spans="1:9" ht="15" thickBot="1" x14ac:dyDescent="0.4">
      <c r="A88" s="133" t="s">
        <v>12</v>
      </c>
      <c r="B88" s="133"/>
      <c r="C88" s="133"/>
      <c r="D88" s="134"/>
      <c r="E88" s="135">
        <v>38272</v>
      </c>
      <c r="F88" s="136">
        <f>SUM(F64:F87)</f>
        <v>38272</v>
      </c>
      <c r="G88" s="136">
        <f>G87</f>
        <v>38272</v>
      </c>
      <c r="H88" s="137">
        <f>H87</f>
        <v>38272</v>
      </c>
      <c r="I88" s="148">
        <f>H88/G88</f>
        <v>1</v>
      </c>
    </row>
    <row r="89" spans="1:9" ht="15" thickTop="1" x14ac:dyDescent="0.35"/>
    <row r="91" spans="1:9" x14ac:dyDescent="0.35">
      <c r="A91" s="216" t="s">
        <v>133</v>
      </c>
      <c r="B91" s="216"/>
      <c r="C91" s="216"/>
      <c r="D91" s="216"/>
      <c r="E91" s="217"/>
      <c r="F91" s="217"/>
      <c r="G91" s="217"/>
      <c r="H91" s="217"/>
      <c r="I91" s="217"/>
    </row>
    <row r="92" spans="1:9" ht="15" thickBot="1" x14ac:dyDescent="0.4">
      <c r="A92" s="202" t="s">
        <v>0</v>
      </c>
      <c r="B92" s="204"/>
      <c r="C92" s="204"/>
      <c r="D92" s="204"/>
      <c r="E92" s="193" t="s">
        <v>24</v>
      </c>
      <c r="F92" s="193"/>
      <c r="G92" s="193"/>
      <c r="H92" s="193"/>
      <c r="I92" s="194"/>
    </row>
    <row r="93" spans="1:9" ht="47" thickTop="1" x14ac:dyDescent="0.35">
      <c r="A93" s="7" t="s">
        <v>1</v>
      </c>
      <c r="B93" s="7" t="s">
        <v>2</v>
      </c>
      <c r="C93" s="7" t="s">
        <v>3</v>
      </c>
      <c r="D93" s="9" t="s">
        <v>9</v>
      </c>
      <c r="E93" s="19" t="s">
        <v>4</v>
      </c>
      <c r="F93" s="20" t="s">
        <v>6</v>
      </c>
      <c r="G93" s="20" t="s">
        <v>5</v>
      </c>
      <c r="H93" s="48" t="s">
        <v>7</v>
      </c>
      <c r="I93" s="51" t="s">
        <v>8</v>
      </c>
    </row>
    <row r="94" spans="1:9" ht="15.5" x14ac:dyDescent="0.35">
      <c r="A94" s="64">
        <v>2020</v>
      </c>
      <c r="B94" s="64">
        <v>4</v>
      </c>
      <c r="C94" s="65">
        <v>44105</v>
      </c>
      <c r="D94" s="65">
        <v>44196</v>
      </c>
      <c r="E94" s="66"/>
      <c r="F94" s="66"/>
      <c r="G94" s="66"/>
      <c r="H94" s="70"/>
      <c r="I94" s="71"/>
    </row>
    <row r="95" spans="1:9" ht="15.5" x14ac:dyDescent="0.35">
      <c r="A95" s="64">
        <v>2021</v>
      </c>
      <c r="B95" s="64">
        <v>1</v>
      </c>
      <c r="C95" s="65">
        <v>44197</v>
      </c>
      <c r="D95" s="65">
        <v>44286</v>
      </c>
      <c r="E95" s="66"/>
      <c r="F95" s="66"/>
      <c r="G95" s="66"/>
      <c r="H95" s="70"/>
      <c r="I95" s="71"/>
    </row>
    <row r="96" spans="1:9" ht="15.5" x14ac:dyDescent="0.35">
      <c r="A96" s="89">
        <v>2021</v>
      </c>
      <c r="B96" s="89">
        <v>2</v>
      </c>
      <c r="C96" s="90">
        <v>44287</v>
      </c>
      <c r="D96" s="90">
        <v>44377</v>
      </c>
      <c r="E96" s="66"/>
      <c r="F96" s="73"/>
      <c r="G96" s="73"/>
      <c r="H96" s="111"/>
      <c r="I96" s="110"/>
    </row>
    <row r="97" spans="1:9" ht="15.5" x14ac:dyDescent="0.35">
      <c r="A97" s="64">
        <v>2021</v>
      </c>
      <c r="B97" s="64">
        <v>3</v>
      </c>
      <c r="C97" s="65">
        <v>44378</v>
      </c>
      <c r="D97" s="65">
        <v>44469</v>
      </c>
      <c r="E97" s="66"/>
      <c r="F97" s="73"/>
      <c r="G97" s="73"/>
      <c r="H97" s="111"/>
      <c r="I97" s="110"/>
    </row>
    <row r="98" spans="1:9" ht="15.5" x14ac:dyDescent="0.35">
      <c r="A98" s="64">
        <v>2021</v>
      </c>
      <c r="B98" s="64">
        <v>4</v>
      </c>
      <c r="C98" s="65">
        <v>44470</v>
      </c>
      <c r="D98" s="65">
        <v>44561</v>
      </c>
      <c r="E98" s="66"/>
      <c r="F98" s="73"/>
      <c r="G98" s="73"/>
      <c r="H98" s="111"/>
      <c r="I98" s="110"/>
    </row>
    <row r="99" spans="1:9" ht="15.5" x14ac:dyDescent="0.35">
      <c r="A99" s="64">
        <v>2022</v>
      </c>
      <c r="B99" s="64">
        <v>1</v>
      </c>
      <c r="C99" s="65">
        <v>44562</v>
      </c>
      <c r="D99" s="65">
        <v>44651</v>
      </c>
      <c r="E99" s="66"/>
      <c r="F99" s="73"/>
      <c r="G99" s="73"/>
      <c r="H99" s="111"/>
      <c r="I99" s="110"/>
    </row>
    <row r="100" spans="1:9" ht="15.5" x14ac:dyDescent="0.35">
      <c r="A100" s="64">
        <v>2022</v>
      </c>
      <c r="B100" s="64">
        <v>2</v>
      </c>
      <c r="C100" s="65">
        <v>44652</v>
      </c>
      <c r="D100" s="65">
        <v>44742</v>
      </c>
      <c r="E100" s="66"/>
      <c r="F100" s="73"/>
      <c r="G100" s="73"/>
      <c r="H100" s="111"/>
      <c r="I100" s="110"/>
    </row>
    <row r="101" spans="1:9" ht="15.5" x14ac:dyDescent="0.35">
      <c r="A101" s="64">
        <v>2022</v>
      </c>
      <c r="B101" s="64">
        <v>3</v>
      </c>
      <c r="C101" s="65">
        <v>44743</v>
      </c>
      <c r="D101" s="65">
        <v>44834</v>
      </c>
      <c r="E101" s="66"/>
      <c r="F101" s="73"/>
      <c r="G101" s="73"/>
      <c r="H101" s="111"/>
      <c r="I101" s="110"/>
    </row>
    <row r="102" spans="1:9" ht="15.5" x14ac:dyDescent="0.35">
      <c r="A102" s="64">
        <v>2022</v>
      </c>
      <c r="B102" s="64">
        <v>4</v>
      </c>
      <c r="C102" s="65">
        <v>44835</v>
      </c>
      <c r="D102" s="65">
        <v>44926</v>
      </c>
      <c r="E102" s="66"/>
      <c r="F102" s="73"/>
      <c r="G102" s="73"/>
      <c r="H102" s="111"/>
      <c r="I102" s="110"/>
    </row>
    <row r="103" spans="1:9" ht="15.5" x14ac:dyDescent="0.35">
      <c r="A103" s="64">
        <v>2023</v>
      </c>
      <c r="B103" s="64">
        <v>1</v>
      </c>
      <c r="C103" s="65">
        <v>44927</v>
      </c>
      <c r="D103" s="65">
        <v>45016</v>
      </c>
      <c r="E103" s="66"/>
      <c r="F103" s="73"/>
      <c r="G103" s="73"/>
      <c r="H103" s="111"/>
      <c r="I103" s="110"/>
    </row>
    <row r="104" spans="1:9" ht="15.5" x14ac:dyDescent="0.35">
      <c r="A104" s="64">
        <v>2023</v>
      </c>
      <c r="B104" s="64">
        <v>2</v>
      </c>
      <c r="C104" s="65">
        <v>45017</v>
      </c>
      <c r="D104" s="65">
        <v>45107</v>
      </c>
      <c r="E104" s="66"/>
      <c r="F104" s="73"/>
      <c r="G104" s="73"/>
      <c r="H104" s="111"/>
      <c r="I104" s="110"/>
    </row>
    <row r="105" spans="1:9" ht="15.5" x14ac:dyDescent="0.35">
      <c r="A105" s="64">
        <v>2023</v>
      </c>
      <c r="B105" s="64">
        <v>3</v>
      </c>
      <c r="C105" s="65">
        <v>45108</v>
      </c>
      <c r="D105" s="65">
        <v>45199</v>
      </c>
      <c r="E105" s="66"/>
      <c r="F105" s="73"/>
      <c r="G105" s="73"/>
      <c r="H105" s="111"/>
      <c r="I105" s="110"/>
    </row>
    <row r="106" spans="1:9" ht="15.5" x14ac:dyDescent="0.35">
      <c r="A106" s="64">
        <v>2023</v>
      </c>
      <c r="B106" s="64">
        <v>4</v>
      </c>
      <c r="C106" s="65">
        <v>45200</v>
      </c>
      <c r="D106" s="65">
        <v>45291</v>
      </c>
      <c r="E106" s="66"/>
      <c r="F106" s="73"/>
      <c r="G106" s="73"/>
      <c r="H106" s="111"/>
      <c r="I106" s="110"/>
    </row>
    <row r="107" spans="1:9" ht="15.5" x14ac:dyDescent="0.35">
      <c r="A107" s="64">
        <v>2024</v>
      </c>
      <c r="B107" s="64">
        <v>1</v>
      </c>
      <c r="C107" s="65">
        <v>45292</v>
      </c>
      <c r="D107" s="65">
        <v>45382</v>
      </c>
      <c r="E107" s="66"/>
      <c r="F107" s="73"/>
      <c r="G107" s="73"/>
      <c r="H107" s="111"/>
      <c r="I107" s="110"/>
    </row>
    <row r="108" spans="1:9" ht="15.5" x14ac:dyDescent="0.35">
      <c r="A108" s="64">
        <v>2024</v>
      </c>
      <c r="B108" s="64">
        <v>2</v>
      </c>
      <c r="C108" s="65">
        <v>45383</v>
      </c>
      <c r="D108" s="65">
        <v>45473</v>
      </c>
      <c r="E108" s="66"/>
      <c r="F108" s="73"/>
      <c r="G108" s="73"/>
      <c r="H108" s="111"/>
      <c r="I108" s="110"/>
    </row>
    <row r="109" spans="1:9" ht="15.5" x14ac:dyDescent="0.35">
      <c r="A109" s="1">
        <v>2024</v>
      </c>
      <c r="B109" s="1">
        <v>3</v>
      </c>
      <c r="C109" s="2">
        <v>45474</v>
      </c>
      <c r="D109" s="2">
        <v>45565</v>
      </c>
      <c r="E109" s="147">
        <f>$E$118/8</f>
        <v>31250</v>
      </c>
      <c r="F109" s="18">
        <v>3104.34</v>
      </c>
      <c r="G109" s="18">
        <f t="shared" ref="G109" si="24">G108+E109</f>
        <v>31250</v>
      </c>
      <c r="H109" s="50">
        <f t="shared" ref="H109:H116" si="25">SUM(H108+F109)</f>
        <v>3104.34</v>
      </c>
      <c r="I109" s="53">
        <f t="shared" ref="I109:I114" si="26">H109/G109</f>
        <v>9.9338880000000004E-2</v>
      </c>
    </row>
    <row r="110" spans="1:9" ht="15.5" x14ac:dyDescent="0.35">
      <c r="A110" s="1">
        <v>2024</v>
      </c>
      <c r="B110" s="1">
        <v>4</v>
      </c>
      <c r="C110" s="2">
        <v>45566</v>
      </c>
      <c r="D110" s="2">
        <v>45657</v>
      </c>
      <c r="E110" s="147">
        <f t="shared" ref="E110:E116" si="27">$E$118/8</f>
        <v>31250</v>
      </c>
      <c r="F110" s="18"/>
      <c r="G110" s="18">
        <f>G109+E110</f>
        <v>62500</v>
      </c>
      <c r="H110" s="50">
        <f t="shared" si="25"/>
        <v>3104.34</v>
      </c>
      <c r="I110" s="53">
        <f t="shared" si="26"/>
        <v>4.9669440000000002E-2</v>
      </c>
    </row>
    <row r="111" spans="1:9" ht="15.5" x14ac:dyDescent="0.35">
      <c r="A111" s="1">
        <v>2025</v>
      </c>
      <c r="B111" s="1">
        <v>1</v>
      </c>
      <c r="C111" s="2">
        <v>45658</v>
      </c>
      <c r="D111" s="2">
        <v>45747</v>
      </c>
      <c r="E111" s="147">
        <f t="shared" si="27"/>
        <v>31250</v>
      </c>
      <c r="F111" s="18"/>
      <c r="G111" s="18">
        <f t="shared" ref="G111:G117" si="28">G110+E111</f>
        <v>93750</v>
      </c>
      <c r="H111" s="50">
        <f t="shared" si="25"/>
        <v>3104.34</v>
      </c>
      <c r="I111" s="53">
        <f t="shared" si="26"/>
        <v>3.3112960000000004E-2</v>
      </c>
    </row>
    <row r="112" spans="1:9" ht="15.5" x14ac:dyDescent="0.35">
      <c r="A112" s="1">
        <v>2025</v>
      </c>
      <c r="B112" s="1">
        <v>2</v>
      </c>
      <c r="C112" s="2">
        <v>45748</v>
      </c>
      <c r="D112" s="2">
        <v>45838</v>
      </c>
      <c r="E112" s="147">
        <f t="shared" si="27"/>
        <v>31250</v>
      </c>
      <c r="F112" s="18"/>
      <c r="G112" s="18">
        <f t="shared" si="28"/>
        <v>125000</v>
      </c>
      <c r="H112" s="50">
        <f t="shared" si="25"/>
        <v>3104.34</v>
      </c>
      <c r="I112" s="53">
        <f t="shared" si="26"/>
        <v>2.4834720000000001E-2</v>
      </c>
    </row>
    <row r="113" spans="1:9" ht="15.5" x14ac:dyDescent="0.35">
      <c r="A113" s="1">
        <v>2025</v>
      </c>
      <c r="B113" s="1">
        <v>3</v>
      </c>
      <c r="C113" s="2">
        <v>45839</v>
      </c>
      <c r="D113" s="2">
        <v>45930</v>
      </c>
      <c r="E113" s="147">
        <f t="shared" si="27"/>
        <v>31250</v>
      </c>
      <c r="F113" s="18"/>
      <c r="G113" s="18">
        <f t="shared" si="28"/>
        <v>156250</v>
      </c>
      <c r="H113" s="50">
        <f t="shared" si="25"/>
        <v>3104.34</v>
      </c>
      <c r="I113" s="53">
        <f t="shared" si="26"/>
        <v>1.9867776E-2</v>
      </c>
    </row>
    <row r="114" spans="1:9" ht="15.5" x14ac:dyDescent="0.35">
      <c r="A114" s="1">
        <v>2025</v>
      </c>
      <c r="B114" s="1">
        <v>4</v>
      </c>
      <c r="C114" s="2">
        <v>45931</v>
      </c>
      <c r="D114" s="2">
        <v>46022</v>
      </c>
      <c r="E114" s="147">
        <f t="shared" si="27"/>
        <v>31250</v>
      </c>
      <c r="F114" s="18"/>
      <c r="G114" s="18">
        <f t="shared" si="28"/>
        <v>187500</v>
      </c>
      <c r="H114" s="50">
        <f t="shared" si="25"/>
        <v>3104.34</v>
      </c>
      <c r="I114" s="53">
        <f t="shared" si="26"/>
        <v>1.6556480000000002E-2</v>
      </c>
    </row>
    <row r="115" spans="1:9" ht="15.5" x14ac:dyDescent="0.35">
      <c r="A115" s="1">
        <v>2026</v>
      </c>
      <c r="B115" s="1">
        <v>1</v>
      </c>
      <c r="C115" s="2">
        <v>46023</v>
      </c>
      <c r="D115" s="2">
        <v>46112</v>
      </c>
      <c r="E115" s="147">
        <f t="shared" si="27"/>
        <v>31250</v>
      </c>
      <c r="F115" s="18"/>
      <c r="G115" s="18">
        <f t="shared" si="28"/>
        <v>218750</v>
      </c>
      <c r="H115" s="50">
        <f t="shared" si="25"/>
        <v>3104.34</v>
      </c>
      <c r="I115" s="53">
        <f>H115/G115</f>
        <v>1.4191268571428573E-2</v>
      </c>
    </row>
    <row r="116" spans="1:9" ht="15.5" x14ac:dyDescent="0.35">
      <c r="A116" s="1">
        <v>2026</v>
      </c>
      <c r="B116" s="1">
        <v>2</v>
      </c>
      <c r="C116" s="2">
        <v>46113</v>
      </c>
      <c r="D116" s="2">
        <v>46203</v>
      </c>
      <c r="E116" s="147">
        <f t="shared" si="27"/>
        <v>31250</v>
      </c>
      <c r="F116" s="18"/>
      <c r="G116" s="18">
        <f t="shared" si="28"/>
        <v>250000</v>
      </c>
      <c r="H116" s="50">
        <f t="shared" si="25"/>
        <v>3104.34</v>
      </c>
      <c r="I116" s="53">
        <f t="shared" ref="I116:I117" si="29">H116/G116</f>
        <v>1.2417360000000001E-2</v>
      </c>
    </row>
    <row r="117" spans="1:9" ht="15.5" x14ac:dyDescent="0.35">
      <c r="A117" s="1">
        <v>2026</v>
      </c>
      <c r="B117" s="1">
        <v>3</v>
      </c>
      <c r="C117" s="2">
        <v>46204</v>
      </c>
      <c r="D117" s="2">
        <v>46295</v>
      </c>
      <c r="E117" s="147"/>
      <c r="F117" s="18"/>
      <c r="G117" s="18">
        <f t="shared" si="28"/>
        <v>250000</v>
      </c>
      <c r="H117" s="50">
        <f>SUM(H116+F117)</f>
        <v>3104.34</v>
      </c>
      <c r="I117" s="53">
        <f t="shared" si="29"/>
        <v>1.2417360000000001E-2</v>
      </c>
    </row>
    <row r="118" spans="1:9" ht="15" thickBot="1" x14ac:dyDescent="0.4">
      <c r="A118" s="36" t="s">
        <v>12</v>
      </c>
      <c r="B118" s="36"/>
      <c r="C118" s="36"/>
      <c r="D118" s="37"/>
      <c r="E118" s="38">
        <v>250000</v>
      </c>
      <c r="F118" s="34">
        <f>SUM(F94:F117)</f>
        <v>3104.34</v>
      </c>
      <c r="G118" s="34">
        <f>G117</f>
        <v>250000</v>
      </c>
      <c r="H118" s="35">
        <f>H117</f>
        <v>3104.34</v>
      </c>
      <c r="I118" s="120">
        <f>H118/G118</f>
        <v>1.2417360000000001E-2</v>
      </c>
    </row>
    <row r="119" spans="1:9" ht="15" thickTop="1" x14ac:dyDescent="0.35"/>
  </sheetData>
  <mergeCells count="12">
    <mergeCell ref="A91:I91"/>
    <mergeCell ref="A92:D92"/>
    <mergeCell ref="E92:I92"/>
    <mergeCell ref="A62:D62"/>
    <mergeCell ref="E62:I62"/>
    <mergeCell ref="A61:I61"/>
    <mergeCell ref="A1:I1"/>
    <mergeCell ref="A31:I31"/>
    <mergeCell ref="A2:D2"/>
    <mergeCell ref="E2:I2"/>
    <mergeCell ref="E32:I32"/>
    <mergeCell ref="A32:D3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4D12-BE6A-4E3D-912C-07F51DB3BB5B}">
  <dimension ref="A1:I269"/>
  <sheetViews>
    <sheetView zoomScale="80" zoomScaleNormal="80" workbookViewId="0">
      <selection activeCell="F25" sqref="F25"/>
    </sheetView>
  </sheetViews>
  <sheetFormatPr defaultRowHeight="14.5" x14ac:dyDescent="0.35"/>
  <cols>
    <col min="3" max="3" width="11.7265625" bestFit="1" customWidth="1"/>
    <col min="4" max="4" width="13" bestFit="1" customWidth="1"/>
    <col min="5" max="5" width="15.1796875" bestFit="1" customWidth="1"/>
    <col min="6" max="6" width="14.81640625" bestFit="1" customWidth="1"/>
    <col min="7" max="7" width="16.54296875" bestFit="1" customWidth="1"/>
    <col min="8" max="8" width="14.81640625" bestFit="1" customWidth="1"/>
    <col min="9" max="9" width="10.453125" customWidth="1"/>
  </cols>
  <sheetData>
    <row r="1" spans="1:9" x14ac:dyDescent="0.35">
      <c r="A1" s="216" t="s">
        <v>23</v>
      </c>
      <c r="B1" s="216"/>
      <c r="C1" s="216"/>
      <c r="D1" s="216"/>
      <c r="E1" s="217"/>
      <c r="F1" s="217"/>
      <c r="G1" s="217"/>
      <c r="H1" s="217"/>
      <c r="I1" s="217"/>
    </row>
    <row r="2" spans="1:9" ht="15" thickBot="1" x14ac:dyDescent="0.4">
      <c r="A2" s="202" t="s">
        <v>0</v>
      </c>
      <c r="B2" s="204"/>
      <c r="C2" s="204"/>
      <c r="D2" s="204"/>
      <c r="E2" s="193" t="s">
        <v>24</v>
      </c>
      <c r="F2" s="193"/>
      <c r="G2" s="193"/>
      <c r="H2" s="193"/>
      <c r="I2" s="194"/>
    </row>
    <row r="3" spans="1:9" ht="44" thickTop="1" x14ac:dyDescent="0.35">
      <c r="A3" s="7" t="s">
        <v>1</v>
      </c>
      <c r="B3" s="7" t="s">
        <v>2</v>
      </c>
      <c r="C3" s="7" t="s">
        <v>3</v>
      </c>
      <c r="D3" s="9" t="s">
        <v>9</v>
      </c>
      <c r="E3" s="19" t="s">
        <v>4</v>
      </c>
      <c r="F3" s="20" t="s">
        <v>6</v>
      </c>
      <c r="G3" s="20" t="s">
        <v>5</v>
      </c>
      <c r="H3" s="48" t="s">
        <v>7</v>
      </c>
      <c r="I3" s="51" t="s">
        <v>8</v>
      </c>
    </row>
    <row r="4" spans="1:9" ht="15.5" x14ac:dyDescent="0.35">
      <c r="A4" s="64">
        <v>2020</v>
      </c>
      <c r="B4" s="64">
        <v>4</v>
      </c>
      <c r="C4" s="65">
        <v>44105</v>
      </c>
      <c r="D4" s="65">
        <v>44196</v>
      </c>
      <c r="E4" s="66">
        <f>$E$28/24</f>
        <v>115039.50624999999</v>
      </c>
      <c r="F4" s="66">
        <v>0</v>
      </c>
      <c r="G4" s="66">
        <f>E4</f>
        <v>115039.50624999999</v>
      </c>
      <c r="H4" s="70">
        <v>0</v>
      </c>
      <c r="I4" s="71">
        <v>0</v>
      </c>
    </row>
    <row r="5" spans="1:9" ht="15.5" x14ac:dyDescent="0.35">
      <c r="A5" s="64">
        <v>2021</v>
      </c>
      <c r="B5" s="64">
        <v>1</v>
      </c>
      <c r="C5" s="65">
        <v>44197</v>
      </c>
      <c r="D5" s="65">
        <v>44286</v>
      </c>
      <c r="E5" s="66">
        <f t="shared" ref="E5:E27" si="0">$E$28/24</f>
        <v>115039.50624999999</v>
      </c>
      <c r="F5" s="66">
        <v>206647.59</v>
      </c>
      <c r="G5" s="66">
        <f>G4+E5</f>
        <v>230079.01249999998</v>
      </c>
      <c r="H5" s="70">
        <f>F5</f>
        <v>206647.59</v>
      </c>
      <c r="I5" s="71">
        <f>H5/G5</f>
        <v>0.8981592356234579</v>
      </c>
    </row>
    <row r="6" spans="1:9" ht="15.5" x14ac:dyDescent="0.35">
      <c r="A6" s="89">
        <v>2021</v>
      </c>
      <c r="B6" s="89">
        <v>2</v>
      </c>
      <c r="C6" s="90">
        <v>44287</v>
      </c>
      <c r="D6" s="90">
        <v>44377</v>
      </c>
      <c r="E6" s="66">
        <f>$E$28/24</f>
        <v>115039.50624999999</v>
      </c>
      <c r="F6" s="73">
        <v>39000</v>
      </c>
      <c r="G6" s="66">
        <f t="shared" ref="G6:G27" si="1">G5+E6</f>
        <v>345118.51874999999</v>
      </c>
      <c r="H6" s="111">
        <f>H5+F6</f>
        <v>245647.59</v>
      </c>
      <c r="I6" s="110">
        <f>H6/G6</f>
        <v>0.7117774812250639</v>
      </c>
    </row>
    <row r="7" spans="1:9" ht="15.5" x14ac:dyDescent="0.35">
      <c r="A7" s="64">
        <v>2021</v>
      </c>
      <c r="B7" s="64">
        <v>3</v>
      </c>
      <c r="C7" s="65">
        <v>44378</v>
      </c>
      <c r="D7" s="65">
        <v>44469</v>
      </c>
      <c r="E7" s="66">
        <f t="shared" si="0"/>
        <v>115039.50624999999</v>
      </c>
      <c r="F7" s="73">
        <v>95000</v>
      </c>
      <c r="G7" s="66">
        <f t="shared" si="1"/>
        <v>460158.02499999997</v>
      </c>
      <c r="H7" s="111">
        <f t="shared" ref="H7:H11" si="2">SUM(H6+F7)</f>
        <v>340647.58999999997</v>
      </c>
      <c r="I7" s="110">
        <f t="shared" ref="I7:I24" si="3">H7/G7</f>
        <v>0.74028392746165839</v>
      </c>
    </row>
    <row r="8" spans="1:9" ht="15.5" x14ac:dyDescent="0.35">
      <c r="A8" s="64">
        <v>2022</v>
      </c>
      <c r="B8" s="64">
        <v>4</v>
      </c>
      <c r="C8" s="65">
        <v>44470</v>
      </c>
      <c r="D8" s="65">
        <v>44561</v>
      </c>
      <c r="E8" s="66">
        <f t="shared" si="0"/>
        <v>115039.50624999999</v>
      </c>
      <c r="F8" s="73">
        <v>112000</v>
      </c>
      <c r="G8" s="66">
        <f t="shared" si="1"/>
        <v>575197.53125</v>
      </c>
      <c r="H8" s="111">
        <f t="shared" si="2"/>
        <v>452647.58999999997</v>
      </c>
      <c r="I8" s="110">
        <f t="shared" si="3"/>
        <v>0.78694285946659293</v>
      </c>
    </row>
    <row r="9" spans="1:9" ht="15.5" x14ac:dyDescent="0.35">
      <c r="A9" s="64">
        <v>2022</v>
      </c>
      <c r="B9" s="64">
        <v>1</v>
      </c>
      <c r="C9" s="65">
        <v>44562</v>
      </c>
      <c r="D9" s="65">
        <v>44651</v>
      </c>
      <c r="E9" s="66">
        <f t="shared" si="0"/>
        <v>115039.50624999999</v>
      </c>
      <c r="F9" s="73">
        <v>22000</v>
      </c>
      <c r="G9" s="66">
        <f t="shared" si="1"/>
        <v>690237.03749999998</v>
      </c>
      <c r="H9" s="111">
        <f t="shared" si="2"/>
        <v>474647.58999999997</v>
      </c>
      <c r="I9" s="110">
        <f t="shared" si="3"/>
        <v>0.68765882474105855</v>
      </c>
    </row>
    <row r="10" spans="1:9" ht="15.5" x14ac:dyDescent="0.35">
      <c r="A10" s="64">
        <v>2022</v>
      </c>
      <c r="B10" s="64">
        <v>2</v>
      </c>
      <c r="C10" s="65">
        <v>44652</v>
      </c>
      <c r="D10" s="65">
        <v>44742</v>
      </c>
      <c r="E10" s="66">
        <f t="shared" si="0"/>
        <v>115039.50624999999</v>
      </c>
      <c r="F10" s="73">
        <v>89000</v>
      </c>
      <c r="G10" s="66">
        <f t="shared" si="1"/>
        <v>805276.54374999995</v>
      </c>
      <c r="H10" s="111">
        <f t="shared" si="2"/>
        <v>563647.59</v>
      </c>
      <c r="I10" s="110">
        <f t="shared" si="3"/>
        <v>0.69994288840851393</v>
      </c>
    </row>
    <row r="11" spans="1:9" ht="15.5" x14ac:dyDescent="0.35">
      <c r="A11" s="64">
        <v>2022</v>
      </c>
      <c r="B11" s="64">
        <v>3</v>
      </c>
      <c r="C11" s="65">
        <v>44743</v>
      </c>
      <c r="D11" s="65">
        <v>44834</v>
      </c>
      <c r="E11" s="66">
        <f>$E$28/24</f>
        <v>115039.50624999999</v>
      </c>
      <c r="F11" s="73">
        <v>145000</v>
      </c>
      <c r="G11" s="66">
        <f t="shared" si="1"/>
        <v>920316.04999999993</v>
      </c>
      <c r="H11" s="111">
        <f t="shared" si="2"/>
        <v>708647.59</v>
      </c>
      <c r="I11" s="110">
        <f t="shared" si="3"/>
        <v>0.77000459787700104</v>
      </c>
    </row>
    <row r="12" spans="1:9" ht="15.5" x14ac:dyDescent="0.35">
      <c r="A12" s="64">
        <v>2022</v>
      </c>
      <c r="B12" s="64">
        <v>4</v>
      </c>
      <c r="C12" s="65">
        <v>44835</v>
      </c>
      <c r="D12" s="65">
        <v>44926</v>
      </c>
      <c r="E12" s="66">
        <f t="shared" si="0"/>
        <v>115039.50624999999</v>
      </c>
      <c r="F12" s="73">
        <v>176000</v>
      </c>
      <c r="G12" s="66">
        <f t="shared" si="1"/>
        <v>1035355.5562499999</v>
      </c>
      <c r="H12" s="111">
        <f>SUM(H11+F12)</f>
        <v>884647.59</v>
      </c>
      <c r="I12" s="110">
        <f t="shared" si="3"/>
        <v>0.85443844354701126</v>
      </c>
    </row>
    <row r="13" spans="1:9" ht="15.5" x14ac:dyDescent="0.35">
      <c r="A13" s="64">
        <v>2023</v>
      </c>
      <c r="B13" s="64">
        <v>1</v>
      </c>
      <c r="C13" s="65">
        <v>44927</v>
      </c>
      <c r="D13" s="65">
        <v>45016</v>
      </c>
      <c r="E13" s="66">
        <f t="shared" si="0"/>
        <v>115039.50624999999</v>
      </c>
      <c r="F13" s="73">
        <v>244391</v>
      </c>
      <c r="G13" s="66">
        <f t="shared" si="1"/>
        <v>1150395.0625</v>
      </c>
      <c r="H13" s="111">
        <f t="shared" ref="H13:H26" si="4">SUM(H12+F13)</f>
        <v>1129038.5899999999</v>
      </c>
      <c r="I13" s="110">
        <f t="shared" si="3"/>
        <v>0.98143553184799925</v>
      </c>
    </row>
    <row r="14" spans="1:9" ht="15.5" x14ac:dyDescent="0.35">
      <c r="A14" s="64">
        <v>2023</v>
      </c>
      <c r="B14" s="64">
        <v>2</v>
      </c>
      <c r="C14" s="65">
        <v>45017</v>
      </c>
      <c r="D14" s="65">
        <v>45107</v>
      </c>
      <c r="E14" s="66">
        <f t="shared" si="0"/>
        <v>115039.50624999999</v>
      </c>
      <c r="F14" s="73">
        <v>191000</v>
      </c>
      <c r="G14" s="66">
        <f t="shared" si="1"/>
        <v>1265434.5687500001</v>
      </c>
      <c r="H14" s="111">
        <f t="shared" si="4"/>
        <v>1320038.5899999999</v>
      </c>
      <c r="I14" s="110">
        <f t="shared" si="3"/>
        <v>1.0431504106165976</v>
      </c>
    </row>
    <row r="15" spans="1:9" ht="15.5" x14ac:dyDescent="0.35">
      <c r="A15" s="64">
        <v>2023</v>
      </c>
      <c r="B15" s="64">
        <v>3</v>
      </c>
      <c r="C15" s="65">
        <v>45108</v>
      </c>
      <c r="D15" s="65">
        <v>45199</v>
      </c>
      <c r="E15" s="66">
        <f t="shared" si="0"/>
        <v>115039.50624999999</v>
      </c>
      <c r="F15" s="73">
        <v>175761</v>
      </c>
      <c r="G15" s="66">
        <f t="shared" si="1"/>
        <v>1380474.0750000002</v>
      </c>
      <c r="H15" s="111">
        <f t="shared" si="4"/>
        <v>1495799.5899999999</v>
      </c>
      <c r="I15" s="110">
        <f t="shared" si="3"/>
        <v>1.0835405148771082</v>
      </c>
    </row>
    <row r="16" spans="1:9" ht="15.5" x14ac:dyDescent="0.35">
      <c r="A16" s="64">
        <v>2023</v>
      </c>
      <c r="B16" s="64">
        <v>4</v>
      </c>
      <c r="C16" s="65">
        <v>45200</v>
      </c>
      <c r="D16" s="65">
        <v>45291</v>
      </c>
      <c r="E16" s="66">
        <f t="shared" si="0"/>
        <v>115039.50624999999</v>
      </c>
      <c r="F16" s="73">
        <v>135650</v>
      </c>
      <c r="G16" s="66">
        <f t="shared" si="1"/>
        <v>1495513.5812500003</v>
      </c>
      <c r="H16" s="111">
        <f t="shared" si="4"/>
        <v>1631449.5899999999</v>
      </c>
      <c r="I16" s="110">
        <f t="shared" si="3"/>
        <v>1.0908958704583476</v>
      </c>
    </row>
    <row r="17" spans="1:9" ht="15.5" x14ac:dyDescent="0.35">
      <c r="A17" s="64">
        <v>2024</v>
      </c>
      <c r="B17" s="64">
        <v>1</v>
      </c>
      <c r="C17" s="65">
        <v>45292</v>
      </c>
      <c r="D17" s="65">
        <v>45382</v>
      </c>
      <c r="E17" s="66">
        <f t="shared" si="0"/>
        <v>115039.50624999999</v>
      </c>
      <c r="F17" s="73">
        <v>90322</v>
      </c>
      <c r="G17" s="66">
        <f t="shared" si="1"/>
        <v>1610553.0875000004</v>
      </c>
      <c r="H17" s="111">
        <f t="shared" si="4"/>
        <v>1721771.5899999999</v>
      </c>
      <c r="I17" s="110">
        <f t="shared" si="3"/>
        <v>1.069056092197892</v>
      </c>
    </row>
    <row r="18" spans="1:9" ht="15.5" x14ac:dyDescent="0.35">
      <c r="A18" s="64">
        <v>2024</v>
      </c>
      <c r="B18" s="64">
        <v>2</v>
      </c>
      <c r="C18" s="65">
        <v>45383</v>
      </c>
      <c r="D18" s="65">
        <v>45473</v>
      </c>
      <c r="E18" s="66">
        <f t="shared" si="0"/>
        <v>115039.50624999999</v>
      </c>
      <c r="F18" s="73">
        <v>147000</v>
      </c>
      <c r="G18" s="66">
        <f t="shared" si="1"/>
        <v>1725592.5937500005</v>
      </c>
      <c r="H18" s="111">
        <f t="shared" si="4"/>
        <v>1868771.5899999999</v>
      </c>
      <c r="I18" s="110">
        <f t="shared" si="3"/>
        <v>1.0829738124564197</v>
      </c>
    </row>
    <row r="19" spans="1:9" ht="15.5" x14ac:dyDescent="0.35">
      <c r="A19" s="64">
        <v>2024</v>
      </c>
      <c r="B19" s="64">
        <v>3</v>
      </c>
      <c r="C19" s="65">
        <v>45474</v>
      </c>
      <c r="D19" s="65">
        <v>45565</v>
      </c>
      <c r="E19" s="66">
        <f t="shared" si="0"/>
        <v>115039.50624999999</v>
      </c>
      <c r="F19" s="73">
        <v>65000</v>
      </c>
      <c r="G19" s="66">
        <f t="shared" si="1"/>
        <v>1840632.1000000006</v>
      </c>
      <c r="H19" s="111">
        <f t="shared" si="4"/>
        <v>1933771.5899999999</v>
      </c>
      <c r="I19" s="149">
        <f t="shared" si="3"/>
        <v>1.0506019046391721</v>
      </c>
    </row>
    <row r="20" spans="1:9" ht="15.5" x14ac:dyDescent="0.35">
      <c r="A20" s="1">
        <v>2024</v>
      </c>
      <c r="B20" s="1">
        <v>4</v>
      </c>
      <c r="C20" s="2">
        <v>45566</v>
      </c>
      <c r="D20" s="2">
        <v>45657</v>
      </c>
      <c r="E20" s="147">
        <f t="shared" si="0"/>
        <v>115039.50624999999</v>
      </c>
      <c r="F20" s="17"/>
      <c r="G20" s="147">
        <f t="shared" si="1"/>
        <v>1955671.6062500007</v>
      </c>
      <c r="H20" s="49">
        <f t="shared" si="4"/>
        <v>1933771.5899999999</v>
      </c>
      <c r="I20" s="150">
        <f t="shared" si="3"/>
        <v>0.98880179260157375</v>
      </c>
    </row>
    <row r="21" spans="1:9" ht="15.5" x14ac:dyDescent="0.35">
      <c r="A21" s="1">
        <v>2025</v>
      </c>
      <c r="B21" s="1">
        <v>1</v>
      </c>
      <c r="C21" s="2">
        <v>45658</v>
      </c>
      <c r="D21" s="2">
        <v>45747</v>
      </c>
      <c r="E21" s="147">
        <f t="shared" si="0"/>
        <v>115039.50624999999</v>
      </c>
      <c r="F21" s="17"/>
      <c r="G21" s="147">
        <f t="shared" si="1"/>
        <v>2070711.1125000007</v>
      </c>
      <c r="H21" s="49">
        <f t="shared" si="4"/>
        <v>1933771.5899999999</v>
      </c>
      <c r="I21" s="150">
        <f t="shared" si="3"/>
        <v>0.93386835967926407</v>
      </c>
    </row>
    <row r="22" spans="1:9" ht="15.5" x14ac:dyDescent="0.35">
      <c r="A22" s="1">
        <v>2025</v>
      </c>
      <c r="B22" s="1">
        <v>2</v>
      </c>
      <c r="C22" s="2">
        <v>45748</v>
      </c>
      <c r="D22" s="2">
        <v>45838</v>
      </c>
      <c r="E22" s="147">
        <f t="shared" si="0"/>
        <v>115039.50624999999</v>
      </c>
      <c r="F22" s="17"/>
      <c r="G22" s="147">
        <f t="shared" si="1"/>
        <v>2185750.6187500008</v>
      </c>
      <c r="H22" s="49">
        <f t="shared" si="4"/>
        <v>1933771.5899999999</v>
      </c>
      <c r="I22" s="150">
        <f t="shared" si="3"/>
        <v>0.88471739338035549</v>
      </c>
    </row>
    <row r="23" spans="1:9" ht="15.5" x14ac:dyDescent="0.35">
      <c r="A23" s="1">
        <v>2025</v>
      </c>
      <c r="B23" s="1">
        <v>3</v>
      </c>
      <c r="C23" s="2">
        <v>45839</v>
      </c>
      <c r="D23" s="2">
        <v>45930</v>
      </c>
      <c r="E23" s="147">
        <f t="shared" si="0"/>
        <v>115039.50624999999</v>
      </c>
      <c r="F23" s="17"/>
      <c r="G23" s="147">
        <f t="shared" si="1"/>
        <v>2300790.1250000009</v>
      </c>
      <c r="H23" s="49">
        <f t="shared" si="4"/>
        <v>1933771.5899999999</v>
      </c>
      <c r="I23" s="150">
        <f t="shared" si="3"/>
        <v>0.84048152371133766</v>
      </c>
    </row>
    <row r="24" spans="1:9" ht="15.5" x14ac:dyDescent="0.35">
      <c r="A24" s="1">
        <v>2025</v>
      </c>
      <c r="B24" s="1">
        <v>4</v>
      </c>
      <c r="C24" s="2">
        <v>45931</v>
      </c>
      <c r="D24" s="2">
        <v>46022</v>
      </c>
      <c r="E24" s="147">
        <f t="shared" si="0"/>
        <v>115039.50624999999</v>
      </c>
      <c r="F24" s="17"/>
      <c r="G24" s="147">
        <f t="shared" si="1"/>
        <v>2415829.631250001</v>
      </c>
      <c r="H24" s="49">
        <f t="shared" si="4"/>
        <v>1933771.5899999999</v>
      </c>
      <c r="I24" s="150">
        <f t="shared" si="3"/>
        <v>0.80045859401079777</v>
      </c>
    </row>
    <row r="25" spans="1:9" ht="15.5" x14ac:dyDescent="0.35">
      <c r="A25" s="1">
        <v>2026</v>
      </c>
      <c r="B25" s="1">
        <v>1</v>
      </c>
      <c r="C25" s="2">
        <v>46023</v>
      </c>
      <c r="D25" s="2">
        <v>46112</v>
      </c>
      <c r="E25" s="147">
        <f t="shared" si="0"/>
        <v>115039.50624999999</v>
      </c>
      <c r="F25" s="17"/>
      <c r="G25" s="147">
        <f t="shared" si="1"/>
        <v>2530869.1375000011</v>
      </c>
      <c r="H25" s="49">
        <f t="shared" si="4"/>
        <v>1933771.5899999999</v>
      </c>
      <c r="I25" s="150">
        <f>H25/G25</f>
        <v>0.76407411246485235</v>
      </c>
    </row>
    <row r="26" spans="1:9" ht="15.5" x14ac:dyDescent="0.35">
      <c r="A26" s="1">
        <v>2026</v>
      </c>
      <c r="B26" s="1">
        <v>2</v>
      </c>
      <c r="C26" s="2">
        <v>46113</v>
      </c>
      <c r="D26" s="2">
        <v>46203</v>
      </c>
      <c r="E26" s="147">
        <f t="shared" si="0"/>
        <v>115039.50624999999</v>
      </c>
      <c r="F26" s="17"/>
      <c r="G26" s="147">
        <f t="shared" si="1"/>
        <v>2645908.6437500012</v>
      </c>
      <c r="H26" s="49">
        <f t="shared" si="4"/>
        <v>1933771.5899999999</v>
      </c>
      <c r="I26" s="150">
        <f t="shared" ref="I26:I27" si="5">H26/G26</f>
        <v>0.73085349887942408</v>
      </c>
    </row>
    <row r="27" spans="1:9" ht="15.5" x14ac:dyDescent="0.35">
      <c r="A27" s="1">
        <v>2026</v>
      </c>
      <c r="B27" s="1">
        <v>3</v>
      </c>
      <c r="C27" s="2">
        <v>46204</v>
      </c>
      <c r="D27" s="2">
        <v>46295</v>
      </c>
      <c r="E27" s="147">
        <f t="shared" si="0"/>
        <v>115039.50624999999</v>
      </c>
      <c r="F27" s="17"/>
      <c r="G27" s="147">
        <f t="shared" si="1"/>
        <v>2760948.1500000013</v>
      </c>
      <c r="H27" s="49">
        <f>SUM(H26+F27)</f>
        <v>1933771.5899999999</v>
      </c>
      <c r="I27" s="150">
        <f t="shared" si="5"/>
        <v>0.70040126975944805</v>
      </c>
    </row>
    <row r="28" spans="1:9" ht="15" thickBot="1" x14ac:dyDescent="0.4">
      <c r="A28" s="36" t="s">
        <v>12</v>
      </c>
      <c r="B28" s="36"/>
      <c r="C28" s="36"/>
      <c r="D28" s="37"/>
      <c r="E28" s="38">
        <v>2760948.15</v>
      </c>
      <c r="F28" s="34">
        <f>SUM(F4:F27)</f>
        <v>1933771.5899999999</v>
      </c>
      <c r="G28" s="34">
        <f>G27</f>
        <v>2760948.1500000013</v>
      </c>
      <c r="H28" s="35">
        <f>H27</f>
        <v>1933771.5899999999</v>
      </c>
      <c r="I28" s="120">
        <f>H28/G28</f>
        <v>0.70040126975944805</v>
      </c>
    </row>
    <row r="29" spans="1:9" ht="15" thickTop="1" x14ac:dyDescent="0.35">
      <c r="E29" s="33"/>
    </row>
    <row r="31" spans="1:9" x14ac:dyDescent="0.35">
      <c r="A31" s="216" t="s">
        <v>119</v>
      </c>
      <c r="B31" s="216"/>
      <c r="C31" s="216"/>
      <c r="D31" s="216"/>
      <c r="E31" s="217"/>
      <c r="F31" s="217"/>
      <c r="G31" s="217"/>
      <c r="H31" s="217"/>
      <c r="I31" s="217"/>
    </row>
    <row r="32" spans="1:9" ht="15" thickBot="1" x14ac:dyDescent="0.4">
      <c r="A32" s="202" t="s">
        <v>0</v>
      </c>
      <c r="B32" s="204"/>
      <c r="C32" s="204"/>
      <c r="D32" s="204"/>
      <c r="E32" s="193" t="s">
        <v>24</v>
      </c>
      <c r="F32" s="193"/>
      <c r="G32" s="193"/>
      <c r="H32" s="193"/>
      <c r="I32" s="194"/>
    </row>
    <row r="33" spans="1:9" ht="44" thickTop="1" x14ac:dyDescent="0.35">
      <c r="A33" s="7" t="s">
        <v>1</v>
      </c>
      <c r="B33" s="7" t="s">
        <v>2</v>
      </c>
      <c r="C33" s="7" t="s">
        <v>3</v>
      </c>
      <c r="D33" s="9" t="s">
        <v>9</v>
      </c>
      <c r="E33" s="19" t="s">
        <v>4</v>
      </c>
      <c r="F33" s="20" t="s">
        <v>6</v>
      </c>
      <c r="G33" s="20" t="s">
        <v>5</v>
      </c>
      <c r="H33" s="48" t="s">
        <v>7</v>
      </c>
      <c r="I33" s="51" t="s">
        <v>8</v>
      </c>
    </row>
    <row r="34" spans="1:9" ht="15.5" x14ac:dyDescent="0.35">
      <c r="A34" s="64">
        <v>2020</v>
      </c>
      <c r="B34" s="64">
        <v>4</v>
      </c>
      <c r="C34" s="65">
        <v>44105</v>
      </c>
      <c r="D34" s="65">
        <v>44196</v>
      </c>
      <c r="E34" s="66"/>
      <c r="F34" s="66"/>
      <c r="G34" s="66"/>
      <c r="H34" s="70"/>
      <c r="I34" s="71"/>
    </row>
    <row r="35" spans="1:9" ht="15.5" x14ac:dyDescent="0.35">
      <c r="A35" s="64">
        <v>2021</v>
      </c>
      <c r="B35" s="64">
        <v>1</v>
      </c>
      <c r="C35" s="65">
        <v>44197</v>
      </c>
      <c r="D35" s="65">
        <v>44286</v>
      </c>
      <c r="E35" s="66">
        <f>$E$58/12</f>
        <v>1285.75</v>
      </c>
      <c r="F35" s="66"/>
      <c r="G35" s="73">
        <f t="shared" ref="G35:G38" si="6">G34+E35</f>
        <v>1285.75</v>
      </c>
      <c r="H35" s="70"/>
      <c r="I35" s="71"/>
    </row>
    <row r="36" spans="1:9" ht="15.5" x14ac:dyDescent="0.35">
      <c r="A36" s="64">
        <v>2021</v>
      </c>
      <c r="B36" s="64">
        <v>2</v>
      </c>
      <c r="C36" s="65">
        <v>44287</v>
      </c>
      <c r="D36" s="65">
        <v>44377</v>
      </c>
      <c r="E36" s="66">
        <f t="shared" ref="E36:E46" si="7">$E$58/12</f>
        <v>1285.75</v>
      </c>
      <c r="F36" s="73"/>
      <c r="G36" s="73">
        <f t="shared" si="6"/>
        <v>2571.5</v>
      </c>
      <c r="H36" s="111"/>
      <c r="I36" s="110"/>
    </row>
    <row r="37" spans="1:9" ht="15.5" x14ac:dyDescent="0.35">
      <c r="A37" s="64">
        <v>2021</v>
      </c>
      <c r="B37" s="64">
        <v>3</v>
      </c>
      <c r="C37" s="65">
        <v>44378</v>
      </c>
      <c r="D37" s="65">
        <v>44469</v>
      </c>
      <c r="E37" s="66">
        <f t="shared" si="7"/>
        <v>1285.75</v>
      </c>
      <c r="F37" s="73">
        <v>529</v>
      </c>
      <c r="G37" s="73">
        <f t="shared" si="6"/>
        <v>3857.25</v>
      </c>
      <c r="H37" s="111">
        <f t="shared" ref="H37:H57" si="8">SUM(H36+F37)</f>
        <v>529</v>
      </c>
      <c r="I37" s="110">
        <f t="shared" ref="I37:I57" si="9">H37/G37</f>
        <v>0.1371443385831875</v>
      </c>
    </row>
    <row r="38" spans="1:9" ht="15.5" x14ac:dyDescent="0.35">
      <c r="A38" s="64">
        <v>2022</v>
      </c>
      <c r="B38" s="64">
        <v>4</v>
      </c>
      <c r="C38" s="65">
        <v>44470</v>
      </c>
      <c r="D38" s="65">
        <v>44561</v>
      </c>
      <c r="E38" s="66">
        <f t="shared" si="7"/>
        <v>1285.75</v>
      </c>
      <c r="F38" s="73">
        <v>0</v>
      </c>
      <c r="G38" s="73">
        <f t="shared" si="6"/>
        <v>5143</v>
      </c>
      <c r="H38" s="111">
        <f t="shared" si="8"/>
        <v>529</v>
      </c>
      <c r="I38" s="110">
        <f t="shared" si="9"/>
        <v>0.10285825393739063</v>
      </c>
    </row>
    <row r="39" spans="1:9" ht="15.5" x14ac:dyDescent="0.35">
      <c r="A39" s="64">
        <v>2022</v>
      </c>
      <c r="B39" s="64">
        <v>1</v>
      </c>
      <c r="C39" s="65">
        <v>44562</v>
      </c>
      <c r="D39" s="65">
        <v>44651</v>
      </c>
      <c r="E39" s="66">
        <f t="shared" si="7"/>
        <v>1285.75</v>
      </c>
      <c r="F39" s="73">
        <v>14900</v>
      </c>
      <c r="G39" s="73">
        <f>G38+E39</f>
        <v>6428.75</v>
      </c>
      <c r="H39" s="111">
        <f t="shared" si="8"/>
        <v>15429</v>
      </c>
      <c r="I39" s="110">
        <f>H39/G39</f>
        <v>2.4</v>
      </c>
    </row>
    <row r="40" spans="1:9" ht="15.5" x14ac:dyDescent="0.35">
      <c r="A40" s="64">
        <v>2022</v>
      </c>
      <c r="B40" s="64">
        <v>2</v>
      </c>
      <c r="C40" s="65">
        <v>44652</v>
      </c>
      <c r="D40" s="65">
        <v>44742</v>
      </c>
      <c r="E40" s="66">
        <f t="shared" si="7"/>
        <v>1285.75</v>
      </c>
      <c r="F40" s="73"/>
      <c r="G40" s="73">
        <f t="shared" ref="G40:G57" si="10">G39+E40</f>
        <v>7714.5</v>
      </c>
      <c r="H40" s="111">
        <f t="shared" si="8"/>
        <v>15429</v>
      </c>
      <c r="I40" s="110">
        <f t="shared" si="9"/>
        <v>2</v>
      </c>
    </row>
    <row r="41" spans="1:9" ht="15.5" x14ac:dyDescent="0.35">
      <c r="A41" s="64">
        <v>2022</v>
      </c>
      <c r="B41" s="64">
        <v>3</v>
      </c>
      <c r="C41" s="65">
        <v>44743</v>
      </c>
      <c r="D41" s="65">
        <v>44834</v>
      </c>
      <c r="E41" s="66">
        <f t="shared" si="7"/>
        <v>1285.75</v>
      </c>
      <c r="F41" s="73"/>
      <c r="G41" s="73">
        <f t="shared" si="10"/>
        <v>9000.25</v>
      </c>
      <c r="H41" s="111">
        <f t="shared" si="8"/>
        <v>15429</v>
      </c>
      <c r="I41" s="110">
        <f t="shared" si="9"/>
        <v>1.7142857142857142</v>
      </c>
    </row>
    <row r="42" spans="1:9" ht="15.5" x14ac:dyDescent="0.35">
      <c r="A42" s="64">
        <v>2022</v>
      </c>
      <c r="B42" s="64">
        <v>4</v>
      </c>
      <c r="C42" s="65">
        <v>44835</v>
      </c>
      <c r="D42" s="65">
        <v>44926</v>
      </c>
      <c r="E42" s="66">
        <f t="shared" si="7"/>
        <v>1285.75</v>
      </c>
      <c r="F42" s="73"/>
      <c r="G42" s="73">
        <f t="shared" si="10"/>
        <v>10286</v>
      </c>
      <c r="H42" s="111">
        <f t="shared" si="8"/>
        <v>15429</v>
      </c>
      <c r="I42" s="110">
        <f t="shared" si="9"/>
        <v>1.5</v>
      </c>
    </row>
    <row r="43" spans="1:9" ht="15.5" x14ac:dyDescent="0.35">
      <c r="A43" s="64">
        <v>2023</v>
      </c>
      <c r="B43" s="64">
        <v>1</v>
      </c>
      <c r="C43" s="65">
        <v>44927</v>
      </c>
      <c r="D43" s="65">
        <v>45016</v>
      </c>
      <c r="E43" s="66">
        <f t="shared" si="7"/>
        <v>1285.75</v>
      </c>
      <c r="F43" s="73"/>
      <c r="G43" s="73">
        <f t="shared" si="10"/>
        <v>11571.75</v>
      </c>
      <c r="H43" s="111">
        <f t="shared" si="8"/>
        <v>15429</v>
      </c>
      <c r="I43" s="110">
        <f t="shared" si="9"/>
        <v>1.3333333333333333</v>
      </c>
    </row>
    <row r="44" spans="1:9" ht="15.5" x14ac:dyDescent="0.35">
      <c r="A44" s="64">
        <v>2023</v>
      </c>
      <c r="B44" s="64">
        <v>2</v>
      </c>
      <c r="C44" s="65">
        <v>45017</v>
      </c>
      <c r="D44" s="65">
        <v>45107</v>
      </c>
      <c r="E44" s="66">
        <f t="shared" si="7"/>
        <v>1285.75</v>
      </c>
      <c r="F44" s="73"/>
      <c r="G44" s="73">
        <f t="shared" si="10"/>
        <v>12857.5</v>
      </c>
      <c r="H44" s="111">
        <f t="shared" si="8"/>
        <v>15429</v>
      </c>
      <c r="I44" s="110">
        <f t="shared" si="9"/>
        <v>1.2</v>
      </c>
    </row>
    <row r="45" spans="1:9" ht="15.5" x14ac:dyDescent="0.35">
      <c r="A45" s="64">
        <v>2023</v>
      </c>
      <c r="B45" s="64">
        <v>3</v>
      </c>
      <c r="C45" s="65">
        <v>45108</v>
      </c>
      <c r="D45" s="65">
        <v>45199</v>
      </c>
      <c r="E45" s="66">
        <f t="shared" si="7"/>
        <v>1285.75</v>
      </c>
      <c r="F45" s="73"/>
      <c r="G45" s="73">
        <f t="shared" si="10"/>
        <v>14143.25</v>
      </c>
      <c r="H45" s="111">
        <f t="shared" si="8"/>
        <v>15429</v>
      </c>
      <c r="I45" s="110">
        <f t="shared" si="9"/>
        <v>1.0909090909090908</v>
      </c>
    </row>
    <row r="46" spans="1:9" ht="15.5" x14ac:dyDescent="0.35">
      <c r="A46" s="64">
        <v>2023</v>
      </c>
      <c r="B46" s="64">
        <v>4</v>
      </c>
      <c r="C46" s="65">
        <v>45200</v>
      </c>
      <c r="D46" s="65">
        <v>45291</v>
      </c>
      <c r="E46" s="66">
        <f t="shared" si="7"/>
        <v>1285.75</v>
      </c>
      <c r="F46" s="73"/>
      <c r="G46" s="73">
        <f t="shared" si="10"/>
        <v>15429</v>
      </c>
      <c r="H46" s="111">
        <f t="shared" si="8"/>
        <v>15429</v>
      </c>
      <c r="I46" s="110">
        <f t="shared" si="9"/>
        <v>1</v>
      </c>
    </row>
    <row r="47" spans="1:9" ht="15.5" x14ac:dyDescent="0.35">
      <c r="A47" s="64">
        <v>2024</v>
      </c>
      <c r="B47" s="64">
        <v>1</v>
      </c>
      <c r="C47" s="65">
        <v>45292</v>
      </c>
      <c r="D47" s="65">
        <v>45382</v>
      </c>
      <c r="E47" s="66"/>
      <c r="F47" s="73"/>
      <c r="G47" s="73">
        <f t="shared" si="10"/>
        <v>15429</v>
      </c>
      <c r="H47" s="111">
        <f t="shared" si="8"/>
        <v>15429</v>
      </c>
      <c r="I47" s="110">
        <f t="shared" si="9"/>
        <v>1</v>
      </c>
    </row>
    <row r="48" spans="1:9" ht="15.5" x14ac:dyDescent="0.35">
      <c r="A48" s="64">
        <v>2024</v>
      </c>
      <c r="B48" s="64">
        <v>2</v>
      </c>
      <c r="C48" s="65">
        <v>45383</v>
      </c>
      <c r="D48" s="65">
        <v>45473</v>
      </c>
      <c r="E48" s="66"/>
      <c r="F48" s="73"/>
      <c r="G48" s="73">
        <f t="shared" si="10"/>
        <v>15429</v>
      </c>
      <c r="H48" s="111">
        <f t="shared" si="8"/>
        <v>15429</v>
      </c>
      <c r="I48" s="110">
        <f t="shared" si="9"/>
        <v>1</v>
      </c>
    </row>
    <row r="49" spans="1:9" ht="15.5" x14ac:dyDescent="0.35">
      <c r="A49" s="64">
        <v>2024</v>
      </c>
      <c r="B49" s="64">
        <v>3</v>
      </c>
      <c r="C49" s="65">
        <v>45474</v>
      </c>
      <c r="D49" s="65">
        <v>45565</v>
      </c>
      <c r="E49" s="66"/>
      <c r="F49" s="73"/>
      <c r="G49" s="73">
        <f t="shared" si="10"/>
        <v>15429</v>
      </c>
      <c r="H49" s="111">
        <f t="shared" si="8"/>
        <v>15429</v>
      </c>
      <c r="I49" s="110">
        <f t="shared" si="9"/>
        <v>1</v>
      </c>
    </row>
    <row r="50" spans="1:9" ht="15.5" x14ac:dyDescent="0.35">
      <c r="A50" s="64">
        <v>2024</v>
      </c>
      <c r="B50" s="64">
        <v>4</v>
      </c>
      <c r="C50" s="65">
        <v>45566</v>
      </c>
      <c r="D50" s="65">
        <v>45657</v>
      </c>
      <c r="E50" s="66"/>
      <c r="F50" s="73"/>
      <c r="G50" s="73">
        <f t="shared" si="10"/>
        <v>15429</v>
      </c>
      <c r="H50" s="111">
        <f t="shared" si="8"/>
        <v>15429</v>
      </c>
      <c r="I50" s="110">
        <f t="shared" si="9"/>
        <v>1</v>
      </c>
    </row>
    <row r="51" spans="1:9" ht="15.5" x14ac:dyDescent="0.35">
      <c r="A51" s="64">
        <v>2025</v>
      </c>
      <c r="B51" s="64">
        <v>1</v>
      </c>
      <c r="C51" s="65">
        <v>45658</v>
      </c>
      <c r="D51" s="65">
        <v>45747</v>
      </c>
      <c r="E51" s="66"/>
      <c r="F51" s="73"/>
      <c r="G51" s="73">
        <f t="shared" si="10"/>
        <v>15429</v>
      </c>
      <c r="H51" s="111">
        <f t="shared" si="8"/>
        <v>15429</v>
      </c>
      <c r="I51" s="110">
        <f t="shared" si="9"/>
        <v>1</v>
      </c>
    </row>
    <row r="52" spans="1:9" ht="15.5" x14ac:dyDescent="0.35">
      <c r="A52" s="64">
        <v>2025</v>
      </c>
      <c r="B52" s="64">
        <v>2</v>
      </c>
      <c r="C52" s="65">
        <v>45748</v>
      </c>
      <c r="D52" s="65">
        <v>45838</v>
      </c>
      <c r="E52" s="66"/>
      <c r="F52" s="73"/>
      <c r="G52" s="73">
        <f t="shared" si="10"/>
        <v>15429</v>
      </c>
      <c r="H52" s="111">
        <f t="shared" si="8"/>
        <v>15429</v>
      </c>
      <c r="I52" s="110">
        <f t="shared" si="9"/>
        <v>1</v>
      </c>
    </row>
    <row r="53" spans="1:9" ht="15.5" x14ac:dyDescent="0.35">
      <c r="A53" s="64">
        <v>2025</v>
      </c>
      <c r="B53" s="64">
        <v>3</v>
      </c>
      <c r="C53" s="65">
        <v>45839</v>
      </c>
      <c r="D53" s="65">
        <v>45930</v>
      </c>
      <c r="E53" s="66"/>
      <c r="F53" s="73"/>
      <c r="G53" s="73">
        <f t="shared" si="10"/>
        <v>15429</v>
      </c>
      <c r="H53" s="111">
        <f t="shared" si="8"/>
        <v>15429</v>
      </c>
      <c r="I53" s="110">
        <f t="shared" si="9"/>
        <v>1</v>
      </c>
    </row>
    <row r="54" spans="1:9" ht="15.5" x14ac:dyDescent="0.35">
      <c r="A54" s="64">
        <v>2025</v>
      </c>
      <c r="B54" s="64">
        <v>4</v>
      </c>
      <c r="C54" s="65">
        <v>45931</v>
      </c>
      <c r="D54" s="65">
        <v>46022</v>
      </c>
      <c r="E54" s="66"/>
      <c r="F54" s="73"/>
      <c r="G54" s="73">
        <f t="shared" si="10"/>
        <v>15429</v>
      </c>
      <c r="H54" s="111">
        <f t="shared" si="8"/>
        <v>15429</v>
      </c>
      <c r="I54" s="110">
        <f t="shared" si="9"/>
        <v>1</v>
      </c>
    </row>
    <row r="55" spans="1:9" ht="15.5" x14ac:dyDescent="0.35">
      <c r="A55" s="64">
        <v>2026</v>
      </c>
      <c r="B55" s="64">
        <v>1</v>
      </c>
      <c r="C55" s="65">
        <v>46023</v>
      </c>
      <c r="D55" s="65">
        <v>46112</v>
      </c>
      <c r="E55" s="66"/>
      <c r="F55" s="73"/>
      <c r="G55" s="73">
        <f t="shared" si="10"/>
        <v>15429</v>
      </c>
      <c r="H55" s="111">
        <f t="shared" si="8"/>
        <v>15429</v>
      </c>
      <c r="I55" s="110">
        <f t="shared" si="9"/>
        <v>1</v>
      </c>
    </row>
    <row r="56" spans="1:9" ht="15.5" x14ac:dyDescent="0.35">
      <c r="A56" s="64">
        <v>2026</v>
      </c>
      <c r="B56" s="64">
        <v>2</v>
      </c>
      <c r="C56" s="65">
        <v>46113</v>
      </c>
      <c r="D56" s="65">
        <v>46203</v>
      </c>
      <c r="E56" s="66"/>
      <c r="F56" s="73"/>
      <c r="G56" s="73">
        <f t="shared" si="10"/>
        <v>15429</v>
      </c>
      <c r="H56" s="111">
        <f t="shared" si="8"/>
        <v>15429</v>
      </c>
      <c r="I56" s="110">
        <f t="shared" si="9"/>
        <v>1</v>
      </c>
    </row>
    <row r="57" spans="1:9" ht="15.5" x14ac:dyDescent="0.35">
      <c r="A57" s="64">
        <v>2026</v>
      </c>
      <c r="B57" s="64">
        <v>3</v>
      </c>
      <c r="C57" s="65">
        <v>46204</v>
      </c>
      <c r="D57" s="65">
        <v>46295</v>
      </c>
      <c r="E57" s="66"/>
      <c r="F57" s="73"/>
      <c r="G57" s="73">
        <f t="shared" si="10"/>
        <v>15429</v>
      </c>
      <c r="H57" s="111">
        <f t="shared" si="8"/>
        <v>15429</v>
      </c>
      <c r="I57" s="110">
        <f t="shared" si="9"/>
        <v>1</v>
      </c>
    </row>
    <row r="58" spans="1:9" ht="15" thickBot="1" x14ac:dyDescent="0.4">
      <c r="A58" s="133" t="s">
        <v>12</v>
      </c>
      <c r="B58" s="133"/>
      <c r="C58" s="133"/>
      <c r="D58" s="134"/>
      <c r="E58" s="135">
        <v>15429</v>
      </c>
      <c r="F58" s="136">
        <f>SUM(F34:F57)</f>
        <v>15429</v>
      </c>
      <c r="G58" s="136">
        <f>G57</f>
        <v>15429</v>
      </c>
      <c r="H58" s="137">
        <f>H57</f>
        <v>15429</v>
      </c>
      <c r="I58" s="148">
        <f>H58/G58</f>
        <v>1</v>
      </c>
    </row>
    <row r="59" spans="1:9" ht="15" thickTop="1" x14ac:dyDescent="0.35"/>
    <row r="61" spans="1:9" x14ac:dyDescent="0.35">
      <c r="A61" s="216" t="s">
        <v>120</v>
      </c>
      <c r="B61" s="216"/>
      <c r="C61" s="216"/>
      <c r="D61" s="216"/>
      <c r="E61" s="217"/>
      <c r="F61" s="217"/>
      <c r="G61" s="217"/>
      <c r="H61" s="217"/>
      <c r="I61" s="217"/>
    </row>
    <row r="62" spans="1:9" ht="15" thickBot="1" x14ac:dyDescent="0.4">
      <c r="A62" s="202" t="s">
        <v>0</v>
      </c>
      <c r="B62" s="204"/>
      <c r="C62" s="204"/>
      <c r="D62" s="204"/>
      <c r="E62" s="193" t="s">
        <v>24</v>
      </c>
      <c r="F62" s="193"/>
      <c r="G62" s="193"/>
      <c r="H62" s="193"/>
      <c r="I62" s="194"/>
    </row>
    <row r="63" spans="1:9" ht="44" thickTop="1" x14ac:dyDescent="0.35">
      <c r="A63" s="7" t="s">
        <v>1</v>
      </c>
      <c r="B63" s="7" t="s">
        <v>2</v>
      </c>
      <c r="C63" s="7" t="s">
        <v>3</v>
      </c>
      <c r="D63" s="9" t="s">
        <v>9</v>
      </c>
      <c r="E63" s="19" t="s">
        <v>4</v>
      </c>
      <c r="F63" s="20" t="s">
        <v>6</v>
      </c>
      <c r="G63" s="20" t="s">
        <v>5</v>
      </c>
      <c r="H63" s="48" t="s">
        <v>7</v>
      </c>
      <c r="I63" s="51" t="s">
        <v>8</v>
      </c>
    </row>
    <row r="64" spans="1:9" ht="15.5" x14ac:dyDescent="0.35">
      <c r="A64" s="64">
        <v>2020</v>
      </c>
      <c r="B64" s="64">
        <v>4</v>
      </c>
      <c r="C64" s="65">
        <v>44105</v>
      </c>
      <c r="D64" s="65">
        <v>44196</v>
      </c>
      <c r="E64" s="66"/>
      <c r="F64" s="66"/>
      <c r="G64" s="66"/>
      <c r="H64" s="70"/>
      <c r="I64" s="71"/>
    </row>
    <row r="65" spans="1:9" ht="15.5" x14ac:dyDescent="0.35">
      <c r="A65" s="64">
        <v>2021</v>
      </c>
      <c r="B65" s="64">
        <v>1</v>
      </c>
      <c r="C65" s="65">
        <v>44197</v>
      </c>
      <c r="D65" s="65">
        <v>44286</v>
      </c>
      <c r="E65" s="66">
        <f>$E$88/10</f>
        <v>6919</v>
      </c>
      <c r="F65" s="66">
        <v>16350</v>
      </c>
      <c r="G65" s="73">
        <f t="shared" ref="G65:G68" si="11">G64+E65</f>
        <v>6919</v>
      </c>
      <c r="H65" s="111">
        <f t="shared" ref="H65:H71" si="12">SUM(H64+F65)</f>
        <v>16350</v>
      </c>
      <c r="I65" s="71"/>
    </row>
    <row r="66" spans="1:9" ht="15.5" x14ac:dyDescent="0.35">
      <c r="A66" s="89">
        <v>2021</v>
      </c>
      <c r="B66" s="89">
        <v>2</v>
      </c>
      <c r="C66" s="90">
        <v>44287</v>
      </c>
      <c r="D66" s="90">
        <v>44377</v>
      </c>
      <c r="E66" s="66">
        <f t="shared" ref="E66:E74" si="13">$E$88/10</f>
        <v>6919</v>
      </c>
      <c r="F66" s="92">
        <v>2450</v>
      </c>
      <c r="G66" s="73">
        <f t="shared" si="11"/>
        <v>13838</v>
      </c>
      <c r="H66" s="111">
        <f t="shared" si="12"/>
        <v>18800</v>
      </c>
      <c r="I66" s="94"/>
    </row>
    <row r="67" spans="1:9" ht="15.5" x14ac:dyDescent="0.35">
      <c r="A67" s="64">
        <v>2021</v>
      </c>
      <c r="B67" s="64">
        <v>3</v>
      </c>
      <c r="C67" s="65">
        <v>44378</v>
      </c>
      <c r="D67" s="65">
        <v>44469</v>
      </c>
      <c r="E67" s="66">
        <f t="shared" si="13"/>
        <v>6919</v>
      </c>
      <c r="F67" s="73">
        <v>5100</v>
      </c>
      <c r="G67" s="73">
        <f t="shared" si="11"/>
        <v>20757</v>
      </c>
      <c r="H67" s="111">
        <f t="shared" si="12"/>
        <v>23900</v>
      </c>
      <c r="I67" s="110">
        <f t="shared" ref="I67:I84" si="14">H67/G67</f>
        <v>1.1514187984776221</v>
      </c>
    </row>
    <row r="68" spans="1:9" ht="15.5" x14ac:dyDescent="0.35">
      <c r="A68" s="64">
        <v>2022</v>
      </c>
      <c r="B68" s="64">
        <v>4</v>
      </c>
      <c r="C68" s="65">
        <v>44470</v>
      </c>
      <c r="D68" s="65">
        <v>44561</v>
      </c>
      <c r="E68" s="66">
        <f t="shared" si="13"/>
        <v>6919</v>
      </c>
      <c r="F68" s="73">
        <v>6800</v>
      </c>
      <c r="G68" s="73">
        <f t="shared" si="11"/>
        <v>27676</v>
      </c>
      <c r="H68" s="111">
        <f t="shared" si="12"/>
        <v>30700</v>
      </c>
      <c r="I68" s="110">
        <f t="shared" si="14"/>
        <v>1.1092643445584622</v>
      </c>
    </row>
    <row r="69" spans="1:9" ht="15.5" x14ac:dyDescent="0.35">
      <c r="A69" s="64">
        <v>2022</v>
      </c>
      <c r="B69" s="64">
        <v>1</v>
      </c>
      <c r="C69" s="65">
        <v>44562</v>
      </c>
      <c r="D69" s="65">
        <v>44651</v>
      </c>
      <c r="E69" s="66">
        <f t="shared" si="13"/>
        <v>6919</v>
      </c>
      <c r="F69" s="73">
        <v>375</v>
      </c>
      <c r="G69" s="73">
        <f>G68+E69</f>
        <v>34595</v>
      </c>
      <c r="H69" s="111">
        <f t="shared" si="12"/>
        <v>31075</v>
      </c>
      <c r="I69" s="110">
        <f t="shared" si="14"/>
        <v>0.89825119236883944</v>
      </c>
    </row>
    <row r="70" spans="1:9" ht="15.5" x14ac:dyDescent="0.35">
      <c r="A70" s="64">
        <v>2022</v>
      </c>
      <c r="B70" s="64">
        <v>2</v>
      </c>
      <c r="C70" s="65">
        <v>44652</v>
      </c>
      <c r="D70" s="65">
        <v>44742</v>
      </c>
      <c r="E70" s="66">
        <f t="shared" si="13"/>
        <v>6919</v>
      </c>
      <c r="F70" s="73">
        <v>625</v>
      </c>
      <c r="G70" s="73">
        <f t="shared" ref="G70:G71" si="15">G69+E70</f>
        <v>41514</v>
      </c>
      <c r="H70" s="111">
        <f t="shared" si="12"/>
        <v>31700</v>
      </c>
      <c r="I70" s="110">
        <f t="shared" si="14"/>
        <v>0.76359782242135188</v>
      </c>
    </row>
    <row r="71" spans="1:9" ht="15.5" x14ac:dyDescent="0.35">
      <c r="A71" s="64">
        <v>2022</v>
      </c>
      <c r="B71" s="64">
        <v>3</v>
      </c>
      <c r="C71" s="65">
        <v>44743</v>
      </c>
      <c r="D71" s="65">
        <v>44834</v>
      </c>
      <c r="E71" s="66">
        <f t="shared" si="13"/>
        <v>6919</v>
      </c>
      <c r="F71" s="73">
        <v>0</v>
      </c>
      <c r="G71" s="73">
        <f t="shared" si="15"/>
        <v>48433</v>
      </c>
      <c r="H71" s="111">
        <f t="shared" si="12"/>
        <v>31700</v>
      </c>
      <c r="I71" s="110">
        <f t="shared" si="14"/>
        <v>0.65451241921830161</v>
      </c>
    </row>
    <row r="72" spans="1:9" ht="15.5" x14ac:dyDescent="0.35">
      <c r="A72" s="64">
        <v>2022</v>
      </c>
      <c r="B72" s="64">
        <v>4</v>
      </c>
      <c r="C72" s="65">
        <v>44835</v>
      </c>
      <c r="D72" s="65">
        <v>44926</v>
      </c>
      <c r="E72" s="66">
        <f t="shared" si="13"/>
        <v>6919</v>
      </c>
      <c r="F72" s="73">
        <v>31545</v>
      </c>
      <c r="G72" s="73">
        <f>G71+E72</f>
        <v>55352</v>
      </c>
      <c r="H72" s="111">
        <f>SUM(H71+F72)</f>
        <v>63245</v>
      </c>
      <c r="I72" s="110">
        <f t="shared" si="14"/>
        <v>1.1425964734788263</v>
      </c>
    </row>
    <row r="73" spans="1:9" ht="15.5" x14ac:dyDescent="0.35">
      <c r="A73" s="64">
        <v>2023</v>
      </c>
      <c r="B73" s="64">
        <v>1</v>
      </c>
      <c r="C73" s="65">
        <v>44927</v>
      </c>
      <c r="D73" s="65">
        <v>45016</v>
      </c>
      <c r="E73" s="66">
        <f t="shared" si="13"/>
        <v>6919</v>
      </c>
      <c r="F73" s="73">
        <v>4445</v>
      </c>
      <c r="G73" s="73">
        <f t="shared" ref="G73:G87" si="16">G72+E73</f>
        <v>62271</v>
      </c>
      <c r="H73" s="111">
        <f t="shared" ref="H73:H86" si="17">SUM(H72+F73)</f>
        <v>67690</v>
      </c>
      <c r="I73" s="110">
        <f t="shared" si="14"/>
        <v>1.0870228517287341</v>
      </c>
    </row>
    <row r="74" spans="1:9" ht="15.5" x14ac:dyDescent="0.35">
      <c r="A74" s="64">
        <v>2023</v>
      </c>
      <c r="B74" s="64">
        <v>2</v>
      </c>
      <c r="C74" s="65">
        <v>45017</v>
      </c>
      <c r="D74" s="65">
        <v>45107</v>
      </c>
      <c r="E74" s="66">
        <f t="shared" si="13"/>
        <v>6919</v>
      </c>
      <c r="F74" s="73">
        <v>1500</v>
      </c>
      <c r="G74" s="73">
        <f t="shared" si="16"/>
        <v>69190</v>
      </c>
      <c r="H74" s="111">
        <f t="shared" si="17"/>
        <v>69190</v>
      </c>
      <c r="I74" s="110">
        <f t="shared" si="14"/>
        <v>1</v>
      </c>
    </row>
    <row r="75" spans="1:9" ht="15.5" x14ac:dyDescent="0.35">
      <c r="A75" s="64">
        <v>2023</v>
      </c>
      <c r="B75" s="64">
        <v>3</v>
      </c>
      <c r="C75" s="65">
        <v>45108</v>
      </c>
      <c r="D75" s="65">
        <v>45199</v>
      </c>
      <c r="E75" s="66"/>
      <c r="F75" s="73"/>
      <c r="G75" s="73">
        <f t="shared" si="16"/>
        <v>69190</v>
      </c>
      <c r="H75" s="111">
        <f t="shared" si="17"/>
        <v>69190</v>
      </c>
      <c r="I75" s="110">
        <f t="shared" si="14"/>
        <v>1</v>
      </c>
    </row>
    <row r="76" spans="1:9" ht="15.5" x14ac:dyDescent="0.35">
      <c r="A76" s="64">
        <v>2023</v>
      </c>
      <c r="B76" s="64">
        <v>4</v>
      </c>
      <c r="C76" s="65">
        <v>45200</v>
      </c>
      <c r="D76" s="65">
        <v>45291</v>
      </c>
      <c r="E76" s="66"/>
      <c r="F76" s="73"/>
      <c r="G76" s="73">
        <f t="shared" si="16"/>
        <v>69190</v>
      </c>
      <c r="H76" s="111">
        <f t="shared" si="17"/>
        <v>69190</v>
      </c>
      <c r="I76" s="110">
        <f t="shared" si="14"/>
        <v>1</v>
      </c>
    </row>
    <row r="77" spans="1:9" ht="15.5" x14ac:dyDescent="0.35">
      <c r="A77" s="64">
        <v>2024</v>
      </c>
      <c r="B77" s="64">
        <v>1</v>
      </c>
      <c r="C77" s="65">
        <v>45292</v>
      </c>
      <c r="D77" s="65">
        <v>45382</v>
      </c>
      <c r="E77" s="66"/>
      <c r="F77" s="73"/>
      <c r="G77" s="73">
        <f t="shared" si="16"/>
        <v>69190</v>
      </c>
      <c r="H77" s="111">
        <f t="shared" si="17"/>
        <v>69190</v>
      </c>
      <c r="I77" s="110">
        <f t="shared" si="14"/>
        <v>1</v>
      </c>
    </row>
    <row r="78" spans="1:9" ht="15.5" x14ac:dyDescent="0.35">
      <c r="A78" s="64">
        <v>2024</v>
      </c>
      <c r="B78" s="64">
        <v>2</v>
      </c>
      <c r="C78" s="65">
        <v>45383</v>
      </c>
      <c r="D78" s="65">
        <v>45473</v>
      </c>
      <c r="E78" s="66"/>
      <c r="F78" s="73"/>
      <c r="G78" s="73">
        <f t="shared" si="16"/>
        <v>69190</v>
      </c>
      <c r="H78" s="111">
        <f t="shared" si="17"/>
        <v>69190</v>
      </c>
      <c r="I78" s="110">
        <f t="shared" si="14"/>
        <v>1</v>
      </c>
    </row>
    <row r="79" spans="1:9" ht="15.5" x14ac:dyDescent="0.35">
      <c r="A79" s="64">
        <v>2024</v>
      </c>
      <c r="B79" s="64">
        <v>3</v>
      </c>
      <c r="C79" s="65">
        <v>45474</v>
      </c>
      <c r="D79" s="65">
        <v>45565</v>
      </c>
      <c r="E79" s="66"/>
      <c r="F79" s="73"/>
      <c r="G79" s="73">
        <f t="shared" si="16"/>
        <v>69190</v>
      </c>
      <c r="H79" s="111">
        <f t="shared" si="17"/>
        <v>69190</v>
      </c>
      <c r="I79" s="149">
        <f t="shared" si="14"/>
        <v>1</v>
      </c>
    </row>
    <row r="80" spans="1:9" ht="15.5" x14ac:dyDescent="0.35">
      <c r="A80" s="64">
        <v>2024</v>
      </c>
      <c r="B80" s="64">
        <v>4</v>
      </c>
      <c r="C80" s="65">
        <v>45566</v>
      </c>
      <c r="D80" s="65">
        <v>45657</v>
      </c>
      <c r="E80" s="66"/>
      <c r="F80" s="73"/>
      <c r="G80" s="73">
        <f t="shared" si="16"/>
        <v>69190</v>
      </c>
      <c r="H80" s="111">
        <f t="shared" si="17"/>
        <v>69190</v>
      </c>
      <c r="I80" s="149">
        <f t="shared" si="14"/>
        <v>1</v>
      </c>
    </row>
    <row r="81" spans="1:9" ht="15.5" x14ac:dyDescent="0.35">
      <c r="A81" s="64">
        <v>2025</v>
      </c>
      <c r="B81" s="64">
        <v>1</v>
      </c>
      <c r="C81" s="65">
        <v>45658</v>
      </c>
      <c r="D81" s="65">
        <v>45747</v>
      </c>
      <c r="E81" s="66"/>
      <c r="F81" s="73"/>
      <c r="G81" s="73">
        <f t="shared" si="16"/>
        <v>69190</v>
      </c>
      <c r="H81" s="111">
        <f t="shared" si="17"/>
        <v>69190</v>
      </c>
      <c r="I81" s="149">
        <f t="shared" si="14"/>
        <v>1</v>
      </c>
    </row>
    <row r="82" spans="1:9" ht="15.5" x14ac:dyDescent="0.35">
      <c r="A82" s="64">
        <v>2025</v>
      </c>
      <c r="B82" s="64">
        <v>2</v>
      </c>
      <c r="C82" s="65">
        <v>45748</v>
      </c>
      <c r="D82" s="65">
        <v>45838</v>
      </c>
      <c r="E82" s="66"/>
      <c r="F82" s="73"/>
      <c r="G82" s="73">
        <f t="shared" si="16"/>
        <v>69190</v>
      </c>
      <c r="H82" s="111">
        <f t="shared" si="17"/>
        <v>69190</v>
      </c>
      <c r="I82" s="149">
        <f t="shared" si="14"/>
        <v>1</v>
      </c>
    </row>
    <row r="83" spans="1:9" ht="15.5" x14ac:dyDescent="0.35">
      <c r="A83" s="64">
        <v>2025</v>
      </c>
      <c r="B83" s="64">
        <v>3</v>
      </c>
      <c r="C83" s="65">
        <v>45839</v>
      </c>
      <c r="D83" s="65">
        <v>45930</v>
      </c>
      <c r="E83" s="66"/>
      <c r="F83" s="73"/>
      <c r="G83" s="73">
        <f t="shared" si="16"/>
        <v>69190</v>
      </c>
      <c r="H83" s="111">
        <f t="shared" si="17"/>
        <v>69190</v>
      </c>
      <c r="I83" s="149">
        <f t="shared" si="14"/>
        <v>1</v>
      </c>
    </row>
    <row r="84" spans="1:9" ht="15.5" x14ac:dyDescent="0.35">
      <c r="A84" s="64">
        <v>2025</v>
      </c>
      <c r="B84" s="64">
        <v>4</v>
      </c>
      <c r="C84" s="65">
        <v>45931</v>
      </c>
      <c r="D84" s="65">
        <v>46022</v>
      </c>
      <c r="E84" s="66"/>
      <c r="F84" s="73"/>
      <c r="G84" s="73">
        <f t="shared" si="16"/>
        <v>69190</v>
      </c>
      <c r="H84" s="111">
        <f t="shared" si="17"/>
        <v>69190</v>
      </c>
      <c r="I84" s="149">
        <f t="shared" si="14"/>
        <v>1</v>
      </c>
    </row>
    <row r="85" spans="1:9" ht="15.5" x14ac:dyDescent="0.35">
      <c r="A85" s="64">
        <v>2026</v>
      </c>
      <c r="B85" s="64">
        <v>1</v>
      </c>
      <c r="C85" s="65">
        <v>46023</v>
      </c>
      <c r="D85" s="65">
        <v>46112</v>
      </c>
      <c r="E85" s="66"/>
      <c r="F85" s="73"/>
      <c r="G85" s="73">
        <f t="shared" si="16"/>
        <v>69190</v>
      </c>
      <c r="H85" s="111">
        <f t="shared" si="17"/>
        <v>69190</v>
      </c>
      <c r="I85" s="149">
        <f>H85/G85</f>
        <v>1</v>
      </c>
    </row>
    <row r="86" spans="1:9" ht="15.5" x14ac:dyDescent="0.35">
      <c r="A86" s="64">
        <v>2026</v>
      </c>
      <c r="B86" s="64">
        <v>2</v>
      </c>
      <c r="C86" s="65">
        <v>46113</v>
      </c>
      <c r="D86" s="65">
        <v>46203</v>
      </c>
      <c r="E86" s="66"/>
      <c r="F86" s="73"/>
      <c r="G86" s="73">
        <f t="shared" si="16"/>
        <v>69190</v>
      </c>
      <c r="H86" s="111">
        <f t="shared" si="17"/>
        <v>69190</v>
      </c>
      <c r="I86" s="149">
        <f t="shared" ref="I86:I87" si="18">H86/G86</f>
        <v>1</v>
      </c>
    </row>
    <row r="87" spans="1:9" ht="15.5" x14ac:dyDescent="0.35">
      <c r="A87" s="64">
        <v>2026</v>
      </c>
      <c r="B87" s="64">
        <v>3</v>
      </c>
      <c r="C87" s="65">
        <v>46204</v>
      </c>
      <c r="D87" s="65">
        <v>46295</v>
      </c>
      <c r="E87" s="66"/>
      <c r="F87" s="73"/>
      <c r="G87" s="73">
        <f t="shared" si="16"/>
        <v>69190</v>
      </c>
      <c r="H87" s="111">
        <f>SUM(H86+F87)</f>
        <v>69190</v>
      </c>
      <c r="I87" s="149">
        <f t="shared" si="18"/>
        <v>1</v>
      </c>
    </row>
    <row r="88" spans="1:9" ht="15" thickBot="1" x14ac:dyDescent="0.4">
      <c r="A88" s="133" t="s">
        <v>12</v>
      </c>
      <c r="B88" s="133"/>
      <c r="C88" s="133"/>
      <c r="D88" s="134"/>
      <c r="E88" s="135">
        <v>69190</v>
      </c>
      <c r="F88" s="136">
        <f>SUM(F64:F87)</f>
        <v>69190</v>
      </c>
      <c r="G88" s="136">
        <f>G87</f>
        <v>69190</v>
      </c>
      <c r="H88" s="137">
        <f>H87</f>
        <v>69190</v>
      </c>
      <c r="I88" s="148">
        <f>H88/G88</f>
        <v>1</v>
      </c>
    </row>
    <row r="89" spans="1:9" ht="15" thickTop="1" x14ac:dyDescent="0.35"/>
    <row r="91" spans="1:9" x14ac:dyDescent="0.35">
      <c r="A91" s="216" t="s">
        <v>121</v>
      </c>
      <c r="B91" s="216"/>
      <c r="C91" s="216"/>
      <c r="D91" s="216"/>
      <c r="E91" s="217"/>
      <c r="F91" s="217"/>
      <c r="G91" s="217"/>
      <c r="H91" s="217"/>
      <c r="I91" s="217"/>
    </row>
    <row r="92" spans="1:9" ht="15" thickBot="1" x14ac:dyDescent="0.4">
      <c r="A92" s="202" t="s">
        <v>0</v>
      </c>
      <c r="B92" s="204"/>
      <c r="C92" s="204"/>
      <c r="D92" s="204"/>
      <c r="E92" s="193" t="s">
        <v>24</v>
      </c>
      <c r="F92" s="193"/>
      <c r="G92" s="193"/>
      <c r="H92" s="193"/>
      <c r="I92" s="194"/>
    </row>
    <row r="93" spans="1:9" ht="44" thickTop="1" x14ac:dyDescent="0.35">
      <c r="A93" s="7" t="s">
        <v>1</v>
      </c>
      <c r="B93" s="7" t="s">
        <v>2</v>
      </c>
      <c r="C93" s="7" t="s">
        <v>3</v>
      </c>
      <c r="D93" s="9" t="s">
        <v>9</v>
      </c>
      <c r="E93" s="19" t="s">
        <v>4</v>
      </c>
      <c r="F93" s="20" t="s">
        <v>6</v>
      </c>
      <c r="G93" s="20" t="s">
        <v>5</v>
      </c>
      <c r="H93" s="48" t="s">
        <v>7</v>
      </c>
      <c r="I93" s="51" t="s">
        <v>8</v>
      </c>
    </row>
    <row r="94" spans="1:9" ht="15.5" x14ac:dyDescent="0.35">
      <c r="A94" s="64">
        <v>2020</v>
      </c>
      <c r="B94" s="64">
        <v>4</v>
      </c>
      <c r="C94" s="65">
        <v>44105</v>
      </c>
      <c r="D94" s="65">
        <v>44196</v>
      </c>
      <c r="E94" s="66"/>
      <c r="F94" s="66"/>
      <c r="G94" s="66"/>
      <c r="H94" s="70"/>
      <c r="I94" s="71"/>
    </row>
    <row r="95" spans="1:9" ht="15.5" x14ac:dyDescent="0.35">
      <c r="A95" s="64">
        <v>2021</v>
      </c>
      <c r="B95" s="64">
        <v>1</v>
      </c>
      <c r="C95" s="65">
        <v>44197</v>
      </c>
      <c r="D95" s="65">
        <v>44286</v>
      </c>
      <c r="E95" s="66">
        <f>$E$118/12</f>
        <v>6306.4316666666664</v>
      </c>
      <c r="F95" s="66"/>
      <c r="G95" s="92">
        <f>E95</f>
        <v>6306.4316666666664</v>
      </c>
      <c r="H95" s="70"/>
      <c r="I95" s="71"/>
    </row>
    <row r="96" spans="1:9" ht="15.5" x14ac:dyDescent="0.35">
      <c r="A96" s="89">
        <v>2021</v>
      </c>
      <c r="B96" s="89">
        <v>2</v>
      </c>
      <c r="C96" s="90">
        <v>44287</v>
      </c>
      <c r="D96" s="90">
        <v>44377</v>
      </c>
      <c r="E96" s="66">
        <f t="shared" ref="E96:E106" si="19">$E$118/12</f>
        <v>6306.4316666666664</v>
      </c>
      <c r="F96" s="92">
        <v>0</v>
      </c>
      <c r="G96" s="92">
        <f>G95+E96</f>
        <v>12612.863333333333</v>
      </c>
      <c r="H96" s="93">
        <v>0</v>
      </c>
      <c r="I96" s="110">
        <f>H96/G96</f>
        <v>0</v>
      </c>
    </row>
    <row r="97" spans="1:9" ht="15.5" x14ac:dyDescent="0.35">
      <c r="A97" s="64">
        <v>2021</v>
      </c>
      <c r="B97" s="64">
        <v>3</v>
      </c>
      <c r="C97" s="65">
        <v>44378</v>
      </c>
      <c r="D97" s="65">
        <v>44469</v>
      </c>
      <c r="E97" s="66">
        <f t="shared" si="19"/>
        <v>6306.4316666666664</v>
      </c>
      <c r="F97" s="73">
        <v>0</v>
      </c>
      <c r="G97" s="73">
        <f t="shared" ref="G97:G98" si="20">G96+E97</f>
        <v>18919.294999999998</v>
      </c>
      <c r="H97" s="111">
        <f t="shared" ref="H97:H101" si="21">SUM(H96+F97)</f>
        <v>0</v>
      </c>
      <c r="I97" s="188">
        <f>H97/G97</f>
        <v>0</v>
      </c>
    </row>
    <row r="98" spans="1:9" ht="15.5" x14ac:dyDescent="0.35">
      <c r="A98" s="64">
        <v>2022</v>
      </c>
      <c r="B98" s="64">
        <v>4</v>
      </c>
      <c r="C98" s="65">
        <v>44470</v>
      </c>
      <c r="D98" s="65">
        <v>44561</v>
      </c>
      <c r="E98" s="66">
        <f t="shared" si="19"/>
        <v>6306.4316666666664</v>
      </c>
      <c r="F98" s="73">
        <v>0</v>
      </c>
      <c r="G98" s="73">
        <f t="shared" si="20"/>
        <v>25225.726666666666</v>
      </c>
      <c r="H98" s="111">
        <f t="shared" si="21"/>
        <v>0</v>
      </c>
      <c r="I98" s="110">
        <f t="shared" ref="I98:I114" si="22">H98/G98</f>
        <v>0</v>
      </c>
    </row>
    <row r="99" spans="1:9" ht="15.5" x14ac:dyDescent="0.35">
      <c r="A99" s="64">
        <v>2022</v>
      </c>
      <c r="B99" s="64">
        <v>1</v>
      </c>
      <c r="C99" s="65">
        <v>44562</v>
      </c>
      <c r="D99" s="65">
        <v>44651</v>
      </c>
      <c r="E99" s="66">
        <f t="shared" si="19"/>
        <v>6306.4316666666664</v>
      </c>
      <c r="F99" s="73">
        <v>0</v>
      </c>
      <c r="G99" s="73">
        <f>G98+E99</f>
        <v>31532.158333333333</v>
      </c>
      <c r="H99" s="111">
        <f t="shared" si="21"/>
        <v>0</v>
      </c>
      <c r="I99" s="110">
        <f t="shared" si="22"/>
        <v>0</v>
      </c>
    </row>
    <row r="100" spans="1:9" ht="15.5" x14ac:dyDescent="0.35">
      <c r="A100" s="64">
        <v>2022</v>
      </c>
      <c r="B100" s="64">
        <v>2</v>
      </c>
      <c r="C100" s="65">
        <v>44652</v>
      </c>
      <c r="D100" s="65">
        <v>44742</v>
      </c>
      <c r="E100" s="66">
        <f t="shared" si="19"/>
        <v>6306.4316666666664</v>
      </c>
      <c r="F100" s="73">
        <v>0</v>
      </c>
      <c r="G100" s="73">
        <f t="shared" ref="G100:G101" si="23">G99+E100</f>
        <v>37838.589999999997</v>
      </c>
      <c r="H100" s="111">
        <f t="shared" si="21"/>
        <v>0</v>
      </c>
      <c r="I100" s="110">
        <f t="shared" si="22"/>
        <v>0</v>
      </c>
    </row>
    <row r="101" spans="1:9" ht="15.5" x14ac:dyDescent="0.35">
      <c r="A101" s="64">
        <v>2022</v>
      </c>
      <c r="B101" s="64">
        <v>3</v>
      </c>
      <c r="C101" s="65">
        <v>44743</v>
      </c>
      <c r="D101" s="65">
        <v>44834</v>
      </c>
      <c r="E101" s="66">
        <f t="shared" si="19"/>
        <v>6306.4316666666664</v>
      </c>
      <c r="F101" s="73">
        <v>21034</v>
      </c>
      <c r="G101" s="73">
        <f t="shared" si="23"/>
        <v>44145.02166666666</v>
      </c>
      <c r="H101" s="111">
        <f t="shared" si="21"/>
        <v>21034</v>
      </c>
      <c r="I101" s="110">
        <f t="shared" si="22"/>
        <v>0.47647501815323617</v>
      </c>
    </row>
    <row r="102" spans="1:9" ht="15.5" x14ac:dyDescent="0.35">
      <c r="A102" s="64">
        <v>2022</v>
      </c>
      <c r="B102" s="64">
        <v>4</v>
      </c>
      <c r="C102" s="65">
        <v>44835</v>
      </c>
      <c r="D102" s="65">
        <v>44926</v>
      </c>
      <c r="E102" s="66">
        <f t="shared" si="19"/>
        <v>6306.4316666666664</v>
      </c>
      <c r="F102" s="73">
        <v>14508</v>
      </c>
      <c r="G102" s="73">
        <f>G101+E102</f>
        <v>50451.453333333324</v>
      </c>
      <c r="H102" s="111">
        <f>SUM(H101+F102)</f>
        <v>35542</v>
      </c>
      <c r="I102" s="110">
        <f t="shared" si="22"/>
        <v>0.7044792102454136</v>
      </c>
    </row>
    <row r="103" spans="1:9" ht="15.5" x14ac:dyDescent="0.35">
      <c r="A103" s="64">
        <v>2023</v>
      </c>
      <c r="B103" s="64">
        <v>1</v>
      </c>
      <c r="C103" s="65">
        <v>44927</v>
      </c>
      <c r="D103" s="65">
        <v>45016</v>
      </c>
      <c r="E103" s="66">
        <f t="shared" si="19"/>
        <v>6306.4316666666664</v>
      </c>
      <c r="F103" s="73">
        <v>3399.97</v>
      </c>
      <c r="G103" s="73">
        <f t="shared" ref="G103:G117" si="24">G102+E103</f>
        <v>56757.884999999987</v>
      </c>
      <c r="H103" s="111">
        <f t="shared" ref="H103:H116" si="25">SUM(H102+F103)</f>
        <v>38941.97</v>
      </c>
      <c r="I103" s="110">
        <f t="shared" si="22"/>
        <v>0.68610678498679101</v>
      </c>
    </row>
    <row r="104" spans="1:9" ht="15.5" x14ac:dyDescent="0.35">
      <c r="A104" s="64">
        <v>2023</v>
      </c>
      <c r="B104" s="64">
        <v>2</v>
      </c>
      <c r="C104" s="65">
        <v>45017</v>
      </c>
      <c r="D104" s="65">
        <v>45107</v>
      </c>
      <c r="E104" s="66">
        <f t="shared" si="19"/>
        <v>6306.4316666666664</v>
      </c>
      <c r="F104" s="73">
        <v>0</v>
      </c>
      <c r="G104" s="73">
        <f t="shared" si="24"/>
        <v>63064.316666666651</v>
      </c>
      <c r="H104" s="111">
        <f t="shared" si="25"/>
        <v>38941.97</v>
      </c>
      <c r="I104" s="110">
        <f t="shared" si="22"/>
        <v>0.61749610648811193</v>
      </c>
    </row>
    <row r="105" spans="1:9" ht="15.5" x14ac:dyDescent="0.35">
      <c r="A105" s="64">
        <v>2023</v>
      </c>
      <c r="B105" s="64">
        <v>3</v>
      </c>
      <c r="C105" s="65">
        <v>45108</v>
      </c>
      <c r="D105" s="65">
        <v>45199</v>
      </c>
      <c r="E105" s="66">
        <f t="shared" si="19"/>
        <v>6306.4316666666664</v>
      </c>
      <c r="F105" s="73">
        <v>0</v>
      </c>
      <c r="G105" s="73">
        <f t="shared" si="24"/>
        <v>69370.748333333322</v>
      </c>
      <c r="H105" s="111">
        <f t="shared" si="25"/>
        <v>38941.97</v>
      </c>
      <c r="I105" s="110">
        <f t="shared" si="22"/>
        <v>0.56136009680737442</v>
      </c>
    </row>
    <row r="106" spans="1:9" ht="15.5" x14ac:dyDescent="0.35">
      <c r="A106" s="64">
        <v>2023</v>
      </c>
      <c r="B106" s="64">
        <v>4</v>
      </c>
      <c r="C106" s="65">
        <v>45200</v>
      </c>
      <c r="D106" s="65">
        <v>45291</v>
      </c>
      <c r="E106" s="66">
        <f t="shared" si="19"/>
        <v>6306.4316666666664</v>
      </c>
      <c r="F106" s="73">
        <f>24768.66+11966.55</f>
        <v>36735.21</v>
      </c>
      <c r="G106" s="73">
        <f t="shared" si="24"/>
        <v>75677.179999999993</v>
      </c>
      <c r="H106" s="111">
        <f t="shared" si="25"/>
        <v>75677.179999999993</v>
      </c>
      <c r="I106" s="110">
        <f t="shared" si="22"/>
        <v>1</v>
      </c>
    </row>
    <row r="107" spans="1:9" ht="15.5" x14ac:dyDescent="0.35">
      <c r="A107" s="64">
        <v>2024</v>
      </c>
      <c r="B107" s="64">
        <v>1</v>
      </c>
      <c r="C107" s="65">
        <v>45292</v>
      </c>
      <c r="D107" s="65">
        <v>45382</v>
      </c>
      <c r="E107" s="66"/>
      <c r="F107" s="73"/>
      <c r="G107" s="73">
        <f t="shared" si="24"/>
        <v>75677.179999999993</v>
      </c>
      <c r="H107" s="111">
        <f t="shared" si="25"/>
        <v>75677.179999999993</v>
      </c>
      <c r="I107" s="110">
        <f t="shared" si="22"/>
        <v>1</v>
      </c>
    </row>
    <row r="108" spans="1:9" ht="15.5" x14ac:dyDescent="0.35">
      <c r="A108" s="64">
        <v>2024</v>
      </c>
      <c r="B108" s="64">
        <v>2</v>
      </c>
      <c r="C108" s="65">
        <v>45383</v>
      </c>
      <c r="D108" s="65">
        <v>45473</v>
      </c>
      <c r="E108" s="66"/>
      <c r="F108" s="73"/>
      <c r="G108" s="73">
        <f t="shared" si="24"/>
        <v>75677.179999999993</v>
      </c>
      <c r="H108" s="111">
        <f t="shared" si="25"/>
        <v>75677.179999999993</v>
      </c>
      <c r="I108" s="110">
        <f t="shared" si="22"/>
        <v>1</v>
      </c>
    </row>
    <row r="109" spans="1:9" ht="15.5" x14ac:dyDescent="0.35">
      <c r="A109" s="64">
        <v>2024</v>
      </c>
      <c r="B109" s="64">
        <v>3</v>
      </c>
      <c r="C109" s="65">
        <v>45474</v>
      </c>
      <c r="D109" s="65">
        <v>45565</v>
      </c>
      <c r="E109" s="66"/>
      <c r="F109" s="73"/>
      <c r="G109" s="73">
        <f t="shared" si="24"/>
        <v>75677.179999999993</v>
      </c>
      <c r="H109" s="111">
        <f t="shared" si="25"/>
        <v>75677.179999999993</v>
      </c>
      <c r="I109" s="149">
        <f t="shared" si="22"/>
        <v>1</v>
      </c>
    </row>
    <row r="110" spans="1:9" ht="15.5" x14ac:dyDescent="0.35">
      <c r="A110" s="64">
        <v>2024</v>
      </c>
      <c r="B110" s="64">
        <v>4</v>
      </c>
      <c r="C110" s="65">
        <v>45566</v>
      </c>
      <c r="D110" s="65">
        <v>45657</v>
      </c>
      <c r="E110" s="66"/>
      <c r="F110" s="73"/>
      <c r="G110" s="73">
        <f t="shared" si="24"/>
        <v>75677.179999999993</v>
      </c>
      <c r="H110" s="111">
        <f t="shared" si="25"/>
        <v>75677.179999999993</v>
      </c>
      <c r="I110" s="149">
        <f t="shared" si="22"/>
        <v>1</v>
      </c>
    </row>
    <row r="111" spans="1:9" ht="15.5" x14ac:dyDescent="0.35">
      <c r="A111" s="64">
        <v>2025</v>
      </c>
      <c r="B111" s="64">
        <v>1</v>
      </c>
      <c r="C111" s="65">
        <v>45658</v>
      </c>
      <c r="D111" s="65">
        <v>45747</v>
      </c>
      <c r="E111" s="66"/>
      <c r="F111" s="73"/>
      <c r="G111" s="73">
        <f t="shared" si="24"/>
        <v>75677.179999999993</v>
      </c>
      <c r="H111" s="111">
        <f t="shared" si="25"/>
        <v>75677.179999999993</v>
      </c>
      <c r="I111" s="149">
        <f t="shared" si="22"/>
        <v>1</v>
      </c>
    </row>
    <row r="112" spans="1:9" ht="15.5" x14ac:dyDescent="0.35">
      <c r="A112" s="64">
        <v>2025</v>
      </c>
      <c r="B112" s="64">
        <v>2</v>
      </c>
      <c r="C112" s="65">
        <v>45748</v>
      </c>
      <c r="D112" s="65">
        <v>45838</v>
      </c>
      <c r="E112" s="66"/>
      <c r="F112" s="73"/>
      <c r="G112" s="73">
        <f t="shared" si="24"/>
        <v>75677.179999999993</v>
      </c>
      <c r="H112" s="111">
        <f t="shared" si="25"/>
        <v>75677.179999999993</v>
      </c>
      <c r="I112" s="149">
        <f t="shared" si="22"/>
        <v>1</v>
      </c>
    </row>
    <row r="113" spans="1:9" ht="15.5" x14ac:dyDescent="0.35">
      <c r="A113" s="64">
        <v>2025</v>
      </c>
      <c r="B113" s="64">
        <v>3</v>
      </c>
      <c r="C113" s="65">
        <v>45839</v>
      </c>
      <c r="D113" s="65">
        <v>45930</v>
      </c>
      <c r="E113" s="66"/>
      <c r="F113" s="73"/>
      <c r="G113" s="73">
        <f t="shared" si="24"/>
        <v>75677.179999999993</v>
      </c>
      <c r="H113" s="111">
        <f t="shared" si="25"/>
        <v>75677.179999999993</v>
      </c>
      <c r="I113" s="149">
        <f t="shared" si="22"/>
        <v>1</v>
      </c>
    </row>
    <row r="114" spans="1:9" ht="15.5" x14ac:dyDescent="0.35">
      <c r="A114" s="64">
        <v>2025</v>
      </c>
      <c r="B114" s="64">
        <v>4</v>
      </c>
      <c r="C114" s="65">
        <v>45931</v>
      </c>
      <c r="D114" s="65">
        <v>46022</v>
      </c>
      <c r="E114" s="66"/>
      <c r="F114" s="73"/>
      <c r="G114" s="73">
        <f t="shared" si="24"/>
        <v>75677.179999999993</v>
      </c>
      <c r="H114" s="111">
        <f t="shared" si="25"/>
        <v>75677.179999999993</v>
      </c>
      <c r="I114" s="149">
        <f t="shared" si="22"/>
        <v>1</v>
      </c>
    </row>
    <row r="115" spans="1:9" ht="15.5" x14ac:dyDescent="0.35">
      <c r="A115" s="64">
        <v>2026</v>
      </c>
      <c r="B115" s="64">
        <v>1</v>
      </c>
      <c r="C115" s="65">
        <v>46023</v>
      </c>
      <c r="D115" s="65">
        <v>46112</v>
      </c>
      <c r="E115" s="66"/>
      <c r="F115" s="73"/>
      <c r="G115" s="73">
        <f t="shared" si="24"/>
        <v>75677.179999999993</v>
      </c>
      <c r="H115" s="111">
        <f t="shared" si="25"/>
        <v>75677.179999999993</v>
      </c>
      <c r="I115" s="149">
        <f>H115/G115</f>
        <v>1</v>
      </c>
    </row>
    <row r="116" spans="1:9" ht="15.5" x14ac:dyDescent="0.35">
      <c r="A116" s="64">
        <v>2026</v>
      </c>
      <c r="B116" s="64">
        <v>2</v>
      </c>
      <c r="C116" s="65">
        <v>46113</v>
      </c>
      <c r="D116" s="65">
        <v>46203</v>
      </c>
      <c r="E116" s="66"/>
      <c r="F116" s="73"/>
      <c r="G116" s="73">
        <f t="shared" si="24"/>
        <v>75677.179999999993</v>
      </c>
      <c r="H116" s="111">
        <f t="shared" si="25"/>
        <v>75677.179999999993</v>
      </c>
      <c r="I116" s="149">
        <f t="shared" ref="I116:I117" si="26">H116/G116</f>
        <v>1</v>
      </c>
    </row>
    <row r="117" spans="1:9" ht="15.5" x14ac:dyDescent="0.35">
      <c r="A117" s="64">
        <v>2026</v>
      </c>
      <c r="B117" s="64">
        <v>3</v>
      </c>
      <c r="C117" s="65">
        <v>46204</v>
      </c>
      <c r="D117" s="65">
        <v>46295</v>
      </c>
      <c r="E117" s="66"/>
      <c r="F117" s="73"/>
      <c r="G117" s="73">
        <f t="shared" si="24"/>
        <v>75677.179999999993</v>
      </c>
      <c r="H117" s="111">
        <f>SUM(H116+F117)</f>
        <v>75677.179999999993</v>
      </c>
      <c r="I117" s="149">
        <f t="shared" si="26"/>
        <v>1</v>
      </c>
    </row>
    <row r="118" spans="1:9" ht="15" thickBot="1" x14ac:dyDescent="0.4">
      <c r="A118" s="133" t="s">
        <v>12</v>
      </c>
      <c r="B118" s="133"/>
      <c r="C118" s="133"/>
      <c r="D118" s="134"/>
      <c r="E118" s="135">
        <v>75677.179999999993</v>
      </c>
      <c r="F118" s="136">
        <f>SUM(F94:F117)</f>
        <v>75677.179999999993</v>
      </c>
      <c r="G118" s="136">
        <f>G117</f>
        <v>75677.179999999993</v>
      </c>
      <c r="H118" s="137">
        <f>H117</f>
        <v>75677.179999999993</v>
      </c>
      <c r="I118" s="148">
        <f>H118/G118</f>
        <v>1</v>
      </c>
    </row>
    <row r="119" spans="1:9" ht="15" thickTop="1" x14ac:dyDescent="0.35"/>
    <row r="121" spans="1:9" x14ac:dyDescent="0.35">
      <c r="A121" s="216" t="s">
        <v>122</v>
      </c>
      <c r="B121" s="216"/>
      <c r="C121" s="216"/>
      <c r="D121" s="216"/>
      <c r="E121" s="217"/>
      <c r="F121" s="217"/>
      <c r="G121" s="217"/>
      <c r="H121" s="217"/>
      <c r="I121" s="217"/>
    </row>
    <row r="122" spans="1:9" ht="15" thickBot="1" x14ac:dyDescent="0.4">
      <c r="A122" s="202" t="s">
        <v>0</v>
      </c>
      <c r="B122" s="204"/>
      <c r="C122" s="204"/>
      <c r="D122" s="204"/>
      <c r="E122" s="193" t="s">
        <v>24</v>
      </c>
      <c r="F122" s="193"/>
      <c r="G122" s="193"/>
      <c r="H122" s="193"/>
      <c r="I122" s="194"/>
    </row>
    <row r="123" spans="1:9" ht="44" thickTop="1" x14ac:dyDescent="0.35">
      <c r="A123" s="7" t="s">
        <v>1</v>
      </c>
      <c r="B123" s="7" t="s">
        <v>2</v>
      </c>
      <c r="C123" s="7" t="s">
        <v>3</v>
      </c>
      <c r="D123" s="9" t="s">
        <v>9</v>
      </c>
      <c r="E123" s="19" t="s">
        <v>4</v>
      </c>
      <c r="F123" s="20" t="s">
        <v>6</v>
      </c>
      <c r="G123" s="20" t="s">
        <v>5</v>
      </c>
      <c r="H123" s="48" t="s">
        <v>7</v>
      </c>
      <c r="I123" s="51" t="s">
        <v>8</v>
      </c>
    </row>
    <row r="124" spans="1:9" ht="15.5" x14ac:dyDescent="0.35">
      <c r="A124" s="64">
        <v>2020</v>
      </c>
      <c r="B124" s="64">
        <v>4</v>
      </c>
      <c r="C124" s="65">
        <v>44105</v>
      </c>
      <c r="D124" s="65">
        <v>44196</v>
      </c>
      <c r="E124" s="66"/>
      <c r="F124" s="66"/>
      <c r="G124" s="66"/>
      <c r="H124" s="70"/>
      <c r="I124" s="71"/>
    </row>
    <row r="125" spans="1:9" ht="15.5" x14ac:dyDescent="0.35">
      <c r="A125" s="64">
        <v>2021</v>
      </c>
      <c r="B125" s="64">
        <v>1</v>
      </c>
      <c r="C125" s="65">
        <v>44197</v>
      </c>
      <c r="D125" s="65">
        <v>44286</v>
      </c>
      <c r="E125" s="66">
        <f>$E$148/14</f>
        <v>6071.4285714285716</v>
      </c>
      <c r="F125" s="66"/>
      <c r="G125" s="92">
        <f>E125</f>
        <v>6071.4285714285716</v>
      </c>
      <c r="H125" s="70"/>
      <c r="I125" s="71"/>
    </row>
    <row r="126" spans="1:9" ht="15.5" x14ac:dyDescent="0.35">
      <c r="A126" s="89">
        <v>2021</v>
      </c>
      <c r="B126" s="89">
        <v>2</v>
      </c>
      <c r="C126" s="90">
        <v>44287</v>
      </c>
      <c r="D126" s="90">
        <v>44377</v>
      </c>
      <c r="E126" s="66">
        <f t="shared" ref="E126:E138" si="27">$E$148/14</f>
        <v>6071.4285714285716</v>
      </c>
      <c r="F126" s="92">
        <v>0</v>
      </c>
      <c r="G126" s="73">
        <f t="shared" ref="G126:G128" si="28">G125+E126</f>
        <v>12142.857142857143</v>
      </c>
      <c r="H126" s="93">
        <v>0</v>
      </c>
      <c r="I126" s="110">
        <f>H126/G126</f>
        <v>0</v>
      </c>
    </row>
    <row r="127" spans="1:9" ht="15.5" x14ac:dyDescent="0.35">
      <c r="A127" s="64">
        <v>2021</v>
      </c>
      <c r="B127" s="64">
        <v>3</v>
      </c>
      <c r="C127" s="65">
        <v>44378</v>
      </c>
      <c r="D127" s="65">
        <v>44469</v>
      </c>
      <c r="E127" s="66">
        <f t="shared" si="27"/>
        <v>6071.4285714285716</v>
      </c>
      <c r="F127" s="73">
        <v>0</v>
      </c>
      <c r="G127" s="73">
        <f t="shared" si="28"/>
        <v>18214.285714285714</v>
      </c>
      <c r="H127" s="111">
        <f t="shared" ref="H127:H131" si="29">SUM(H126+F127)</f>
        <v>0</v>
      </c>
      <c r="I127" s="188">
        <f>H127/G127</f>
        <v>0</v>
      </c>
    </row>
    <row r="128" spans="1:9" ht="15.5" x14ac:dyDescent="0.35">
      <c r="A128" s="64">
        <v>2022</v>
      </c>
      <c r="B128" s="64">
        <v>4</v>
      </c>
      <c r="C128" s="65">
        <v>44470</v>
      </c>
      <c r="D128" s="65">
        <v>44561</v>
      </c>
      <c r="E128" s="66">
        <f t="shared" si="27"/>
        <v>6071.4285714285716</v>
      </c>
      <c r="F128" s="73">
        <v>5560</v>
      </c>
      <c r="G128" s="73">
        <f t="shared" si="28"/>
        <v>24285.714285714286</v>
      </c>
      <c r="H128" s="111">
        <f t="shared" si="29"/>
        <v>5560</v>
      </c>
      <c r="I128" s="110">
        <f t="shared" ref="I128:I144" si="30">H128/G128</f>
        <v>0.22894117647058823</v>
      </c>
    </row>
    <row r="129" spans="1:9" ht="15.5" x14ac:dyDescent="0.35">
      <c r="A129" s="64">
        <v>2022</v>
      </c>
      <c r="B129" s="64">
        <v>1</v>
      </c>
      <c r="C129" s="65">
        <v>44562</v>
      </c>
      <c r="D129" s="65">
        <v>44651</v>
      </c>
      <c r="E129" s="66">
        <f t="shared" si="27"/>
        <v>6071.4285714285716</v>
      </c>
      <c r="F129" s="73">
        <v>8850</v>
      </c>
      <c r="G129" s="73">
        <f>G128+E129</f>
        <v>30357.142857142859</v>
      </c>
      <c r="H129" s="111">
        <f t="shared" si="29"/>
        <v>14410</v>
      </c>
      <c r="I129" s="110">
        <f t="shared" si="30"/>
        <v>0.47468235294117644</v>
      </c>
    </row>
    <row r="130" spans="1:9" ht="15.5" x14ac:dyDescent="0.35">
      <c r="A130" s="64">
        <v>2022</v>
      </c>
      <c r="B130" s="64">
        <v>2</v>
      </c>
      <c r="C130" s="65">
        <v>44652</v>
      </c>
      <c r="D130" s="65">
        <v>44742</v>
      </c>
      <c r="E130" s="66">
        <f t="shared" si="27"/>
        <v>6071.4285714285716</v>
      </c>
      <c r="F130" s="73">
        <v>9229</v>
      </c>
      <c r="G130" s="73">
        <f t="shared" ref="G130:G131" si="31">G129+E130</f>
        <v>36428.571428571428</v>
      </c>
      <c r="H130" s="111">
        <f t="shared" si="29"/>
        <v>23639</v>
      </c>
      <c r="I130" s="110">
        <f t="shared" si="30"/>
        <v>0.6489137254901961</v>
      </c>
    </row>
    <row r="131" spans="1:9" ht="15.5" x14ac:dyDescent="0.35">
      <c r="A131" s="64">
        <v>2022</v>
      </c>
      <c r="B131" s="64">
        <v>3</v>
      </c>
      <c r="C131" s="65">
        <v>44743</v>
      </c>
      <c r="D131" s="65">
        <v>44834</v>
      </c>
      <c r="E131" s="66">
        <f t="shared" si="27"/>
        <v>6071.4285714285716</v>
      </c>
      <c r="F131" s="73">
        <v>6361</v>
      </c>
      <c r="G131" s="73">
        <f t="shared" si="31"/>
        <v>42500</v>
      </c>
      <c r="H131" s="111">
        <f t="shared" si="29"/>
        <v>30000</v>
      </c>
      <c r="I131" s="110">
        <f t="shared" si="30"/>
        <v>0.70588235294117652</v>
      </c>
    </row>
    <row r="132" spans="1:9" ht="15.5" x14ac:dyDescent="0.35">
      <c r="A132" s="64">
        <v>2022</v>
      </c>
      <c r="B132" s="64">
        <v>4</v>
      </c>
      <c r="C132" s="65">
        <v>44835</v>
      </c>
      <c r="D132" s="65">
        <v>44926</v>
      </c>
      <c r="E132" s="66">
        <f t="shared" si="27"/>
        <v>6071.4285714285716</v>
      </c>
      <c r="F132" s="73">
        <v>8992</v>
      </c>
      <c r="G132" s="73">
        <f>G131+E132</f>
        <v>48571.428571428572</v>
      </c>
      <c r="H132" s="111">
        <f>SUM(H131+F132)</f>
        <v>38992</v>
      </c>
      <c r="I132" s="110">
        <f t="shared" si="30"/>
        <v>0.80277647058823531</v>
      </c>
    </row>
    <row r="133" spans="1:9" ht="15.5" x14ac:dyDescent="0.35">
      <c r="A133" s="64">
        <v>2023</v>
      </c>
      <c r="B133" s="64">
        <v>1</v>
      </c>
      <c r="C133" s="65">
        <v>44927</v>
      </c>
      <c r="D133" s="65">
        <v>45016</v>
      </c>
      <c r="E133" s="66">
        <f t="shared" si="27"/>
        <v>6071.4285714285716</v>
      </c>
      <c r="F133" s="73">
        <v>1008</v>
      </c>
      <c r="G133" s="73">
        <f t="shared" ref="G133:G147" si="32">G132+E133</f>
        <v>54642.857142857145</v>
      </c>
      <c r="H133" s="111">
        <f t="shared" ref="H133:H146" si="33">SUM(H132+F133)</f>
        <v>40000</v>
      </c>
      <c r="I133" s="110">
        <f t="shared" si="30"/>
        <v>0.73202614379084963</v>
      </c>
    </row>
    <row r="134" spans="1:9" ht="15.5" x14ac:dyDescent="0.35">
      <c r="A134" s="64">
        <v>2023</v>
      </c>
      <c r="B134" s="64">
        <v>2</v>
      </c>
      <c r="C134" s="65">
        <v>45017</v>
      </c>
      <c r="D134" s="65">
        <v>45107</v>
      </c>
      <c r="E134" s="66">
        <f t="shared" si="27"/>
        <v>6071.4285714285716</v>
      </c>
      <c r="F134" s="73">
        <v>0</v>
      </c>
      <c r="G134" s="73">
        <f t="shared" si="32"/>
        <v>60714.285714285717</v>
      </c>
      <c r="H134" s="111">
        <f t="shared" si="33"/>
        <v>40000</v>
      </c>
      <c r="I134" s="110">
        <f t="shared" si="30"/>
        <v>0.6588235294117647</v>
      </c>
    </row>
    <row r="135" spans="1:9" ht="15.5" x14ac:dyDescent="0.35">
      <c r="A135" s="64">
        <v>2023</v>
      </c>
      <c r="B135" s="64">
        <v>3</v>
      </c>
      <c r="C135" s="65">
        <v>45108</v>
      </c>
      <c r="D135" s="65">
        <v>45199</v>
      </c>
      <c r="E135" s="66">
        <f t="shared" si="27"/>
        <v>6071.4285714285716</v>
      </c>
      <c r="F135" s="73">
        <v>0</v>
      </c>
      <c r="G135" s="73">
        <f t="shared" si="32"/>
        <v>66785.71428571429</v>
      </c>
      <c r="H135" s="111">
        <f t="shared" si="33"/>
        <v>40000</v>
      </c>
      <c r="I135" s="110">
        <f t="shared" si="30"/>
        <v>0.59893048128342241</v>
      </c>
    </row>
    <row r="136" spans="1:9" ht="15.5" x14ac:dyDescent="0.35">
      <c r="A136" s="64">
        <v>2023</v>
      </c>
      <c r="B136" s="64">
        <v>4</v>
      </c>
      <c r="C136" s="65">
        <v>45200</v>
      </c>
      <c r="D136" s="65">
        <v>45291</v>
      </c>
      <c r="E136" s="66">
        <f t="shared" si="27"/>
        <v>6071.4285714285716</v>
      </c>
      <c r="F136" s="73">
        <v>14075</v>
      </c>
      <c r="G136" s="73">
        <f t="shared" si="32"/>
        <v>72857.142857142855</v>
      </c>
      <c r="H136" s="111">
        <f t="shared" si="33"/>
        <v>54075</v>
      </c>
      <c r="I136" s="110">
        <f t="shared" si="30"/>
        <v>0.74220588235294116</v>
      </c>
    </row>
    <row r="137" spans="1:9" ht="15.5" x14ac:dyDescent="0.35">
      <c r="A137" s="64">
        <v>2024</v>
      </c>
      <c r="B137" s="64">
        <v>1</v>
      </c>
      <c r="C137" s="65">
        <v>45292</v>
      </c>
      <c r="D137" s="65">
        <v>45382</v>
      </c>
      <c r="E137" s="66">
        <f t="shared" si="27"/>
        <v>6071.4285714285716</v>
      </c>
      <c r="F137" s="73">
        <v>16948</v>
      </c>
      <c r="G137" s="73">
        <f t="shared" si="32"/>
        <v>78928.57142857142</v>
      </c>
      <c r="H137" s="111">
        <f t="shared" si="33"/>
        <v>71023</v>
      </c>
      <c r="I137" s="110">
        <f t="shared" si="30"/>
        <v>0.89983891402714944</v>
      </c>
    </row>
    <row r="138" spans="1:9" ht="15.5" x14ac:dyDescent="0.35">
      <c r="A138" s="64">
        <v>2024</v>
      </c>
      <c r="B138" s="64">
        <v>2</v>
      </c>
      <c r="C138" s="65">
        <v>45383</v>
      </c>
      <c r="D138" s="65">
        <v>45473</v>
      </c>
      <c r="E138" s="66">
        <f t="shared" si="27"/>
        <v>6071.4285714285716</v>
      </c>
      <c r="F138" s="73">
        <v>13977</v>
      </c>
      <c r="G138" s="73">
        <f t="shared" si="32"/>
        <v>84999.999999999985</v>
      </c>
      <c r="H138" s="111">
        <f t="shared" si="33"/>
        <v>85000</v>
      </c>
      <c r="I138" s="110">
        <f t="shared" si="30"/>
        <v>1.0000000000000002</v>
      </c>
    </row>
    <row r="139" spans="1:9" ht="15.5" x14ac:dyDescent="0.35">
      <c r="A139" s="64">
        <v>2024</v>
      </c>
      <c r="B139" s="64">
        <v>3</v>
      </c>
      <c r="C139" s="65">
        <v>45474</v>
      </c>
      <c r="D139" s="65">
        <v>45565</v>
      </c>
      <c r="E139" s="66"/>
      <c r="F139" s="73"/>
      <c r="G139" s="73">
        <f t="shared" si="32"/>
        <v>84999.999999999985</v>
      </c>
      <c r="H139" s="111">
        <f t="shared" si="33"/>
        <v>85000</v>
      </c>
      <c r="I139" s="149">
        <f t="shared" si="30"/>
        <v>1.0000000000000002</v>
      </c>
    </row>
    <row r="140" spans="1:9" ht="15.5" x14ac:dyDescent="0.35">
      <c r="A140" s="64">
        <v>2024</v>
      </c>
      <c r="B140" s="64">
        <v>4</v>
      </c>
      <c r="C140" s="65">
        <v>45566</v>
      </c>
      <c r="D140" s="65">
        <v>45657</v>
      </c>
      <c r="E140" s="66"/>
      <c r="F140" s="73"/>
      <c r="G140" s="73">
        <f t="shared" si="32"/>
        <v>84999.999999999985</v>
      </c>
      <c r="H140" s="111">
        <f t="shared" si="33"/>
        <v>85000</v>
      </c>
      <c r="I140" s="149">
        <f t="shared" si="30"/>
        <v>1.0000000000000002</v>
      </c>
    </row>
    <row r="141" spans="1:9" ht="15.5" x14ac:dyDescent="0.35">
      <c r="A141" s="64">
        <v>2025</v>
      </c>
      <c r="B141" s="64">
        <v>1</v>
      </c>
      <c r="C141" s="65">
        <v>45658</v>
      </c>
      <c r="D141" s="65">
        <v>45747</v>
      </c>
      <c r="E141" s="66"/>
      <c r="F141" s="73"/>
      <c r="G141" s="73">
        <f t="shared" si="32"/>
        <v>84999.999999999985</v>
      </c>
      <c r="H141" s="111">
        <f t="shared" si="33"/>
        <v>85000</v>
      </c>
      <c r="I141" s="149">
        <f t="shared" si="30"/>
        <v>1.0000000000000002</v>
      </c>
    </row>
    <row r="142" spans="1:9" ht="15.5" x14ac:dyDescent="0.35">
      <c r="A142" s="64">
        <v>2025</v>
      </c>
      <c r="B142" s="64">
        <v>2</v>
      </c>
      <c r="C142" s="65">
        <v>45748</v>
      </c>
      <c r="D142" s="65">
        <v>45838</v>
      </c>
      <c r="E142" s="66"/>
      <c r="F142" s="73"/>
      <c r="G142" s="73">
        <f t="shared" si="32"/>
        <v>84999.999999999985</v>
      </c>
      <c r="H142" s="111">
        <f t="shared" si="33"/>
        <v>85000</v>
      </c>
      <c r="I142" s="149">
        <f t="shared" si="30"/>
        <v>1.0000000000000002</v>
      </c>
    </row>
    <row r="143" spans="1:9" ht="15.5" x14ac:dyDescent="0.35">
      <c r="A143" s="64">
        <v>2025</v>
      </c>
      <c r="B143" s="64">
        <v>3</v>
      </c>
      <c r="C143" s="65">
        <v>45839</v>
      </c>
      <c r="D143" s="65">
        <v>45930</v>
      </c>
      <c r="E143" s="66"/>
      <c r="F143" s="73"/>
      <c r="G143" s="73">
        <f t="shared" si="32"/>
        <v>84999.999999999985</v>
      </c>
      <c r="H143" s="111">
        <f t="shared" si="33"/>
        <v>85000</v>
      </c>
      <c r="I143" s="149">
        <f t="shared" si="30"/>
        <v>1.0000000000000002</v>
      </c>
    </row>
    <row r="144" spans="1:9" ht="15.5" x14ac:dyDescent="0.35">
      <c r="A144" s="64">
        <v>2025</v>
      </c>
      <c r="B144" s="64">
        <v>4</v>
      </c>
      <c r="C144" s="65">
        <v>45931</v>
      </c>
      <c r="D144" s="65">
        <v>46022</v>
      </c>
      <c r="E144" s="66"/>
      <c r="F144" s="73"/>
      <c r="G144" s="73">
        <f t="shared" si="32"/>
        <v>84999.999999999985</v>
      </c>
      <c r="H144" s="111">
        <f t="shared" si="33"/>
        <v>85000</v>
      </c>
      <c r="I144" s="149">
        <f t="shared" si="30"/>
        <v>1.0000000000000002</v>
      </c>
    </row>
    <row r="145" spans="1:9" ht="15.5" x14ac:dyDescent="0.35">
      <c r="A145" s="64">
        <v>2026</v>
      </c>
      <c r="B145" s="64">
        <v>1</v>
      </c>
      <c r="C145" s="65">
        <v>46023</v>
      </c>
      <c r="D145" s="65">
        <v>46112</v>
      </c>
      <c r="E145" s="66"/>
      <c r="F145" s="73"/>
      <c r="G145" s="73">
        <f t="shared" si="32"/>
        <v>84999.999999999985</v>
      </c>
      <c r="H145" s="111">
        <f t="shared" si="33"/>
        <v>85000</v>
      </c>
      <c r="I145" s="149">
        <f>H145/G145</f>
        <v>1.0000000000000002</v>
      </c>
    </row>
    <row r="146" spans="1:9" ht="15.5" x14ac:dyDescent="0.35">
      <c r="A146" s="64">
        <v>2026</v>
      </c>
      <c r="B146" s="64">
        <v>2</v>
      </c>
      <c r="C146" s="65">
        <v>46113</v>
      </c>
      <c r="D146" s="65">
        <v>46203</v>
      </c>
      <c r="E146" s="66"/>
      <c r="F146" s="73"/>
      <c r="G146" s="73">
        <f t="shared" si="32"/>
        <v>84999.999999999985</v>
      </c>
      <c r="H146" s="111">
        <f t="shared" si="33"/>
        <v>85000</v>
      </c>
      <c r="I146" s="149">
        <f t="shared" ref="I146:I147" si="34">H146/G146</f>
        <v>1.0000000000000002</v>
      </c>
    </row>
    <row r="147" spans="1:9" ht="15.5" x14ac:dyDescent="0.35">
      <c r="A147" s="64">
        <v>2026</v>
      </c>
      <c r="B147" s="64">
        <v>3</v>
      </c>
      <c r="C147" s="65">
        <v>46204</v>
      </c>
      <c r="D147" s="65">
        <v>46295</v>
      </c>
      <c r="E147" s="66"/>
      <c r="F147" s="73"/>
      <c r="G147" s="73">
        <f t="shared" si="32"/>
        <v>84999.999999999985</v>
      </c>
      <c r="H147" s="111">
        <f>SUM(H146+F147)</f>
        <v>85000</v>
      </c>
      <c r="I147" s="149">
        <f t="shared" si="34"/>
        <v>1.0000000000000002</v>
      </c>
    </row>
    <row r="148" spans="1:9" ht="15" thickBot="1" x14ac:dyDescent="0.4">
      <c r="A148" s="133" t="s">
        <v>12</v>
      </c>
      <c r="B148" s="133"/>
      <c r="C148" s="133"/>
      <c r="D148" s="134"/>
      <c r="E148" s="135">
        <v>85000</v>
      </c>
      <c r="F148" s="136">
        <f>SUM(F124:F147)</f>
        <v>85000</v>
      </c>
      <c r="G148" s="136">
        <f>G147</f>
        <v>84999.999999999985</v>
      </c>
      <c r="H148" s="137">
        <f>H147</f>
        <v>85000</v>
      </c>
      <c r="I148" s="148">
        <f>H148/G148</f>
        <v>1.0000000000000002</v>
      </c>
    </row>
    <row r="149" spans="1:9" ht="15" thickTop="1" x14ac:dyDescent="0.35"/>
    <row r="151" spans="1:9" x14ac:dyDescent="0.35">
      <c r="A151" s="216" t="s">
        <v>123</v>
      </c>
      <c r="B151" s="216"/>
      <c r="C151" s="216"/>
      <c r="D151" s="216"/>
      <c r="E151" s="217"/>
      <c r="F151" s="217"/>
      <c r="G151" s="217"/>
      <c r="H151" s="217"/>
      <c r="I151" s="217"/>
    </row>
    <row r="152" spans="1:9" ht="15" thickBot="1" x14ac:dyDescent="0.4">
      <c r="A152" s="202" t="s">
        <v>0</v>
      </c>
      <c r="B152" s="204"/>
      <c r="C152" s="204"/>
      <c r="D152" s="204"/>
      <c r="E152" s="193" t="s">
        <v>24</v>
      </c>
      <c r="F152" s="193"/>
      <c r="G152" s="193"/>
      <c r="H152" s="193"/>
      <c r="I152" s="194"/>
    </row>
    <row r="153" spans="1:9" ht="44" thickTop="1" x14ac:dyDescent="0.35">
      <c r="A153" s="7" t="s">
        <v>1</v>
      </c>
      <c r="B153" s="7" t="s">
        <v>2</v>
      </c>
      <c r="C153" s="7" t="s">
        <v>3</v>
      </c>
      <c r="D153" s="9" t="s">
        <v>9</v>
      </c>
      <c r="E153" s="19" t="s">
        <v>4</v>
      </c>
      <c r="F153" s="20" t="s">
        <v>6</v>
      </c>
      <c r="G153" s="20" t="s">
        <v>5</v>
      </c>
      <c r="H153" s="48" t="s">
        <v>7</v>
      </c>
      <c r="I153" s="51" t="s">
        <v>8</v>
      </c>
    </row>
    <row r="154" spans="1:9" ht="15.5" x14ac:dyDescent="0.35">
      <c r="A154" s="64">
        <v>2020</v>
      </c>
      <c r="B154" s="64">
        <v>4</v>
      </c>
      <c r="C154" s="65">
        <v>44105</v>
      </c>
      <c r="D154" s="65">
        <v>44196</v>
      </c>
      <c r="E154" s="66"/>
      <c r="F154" s="66"/>
      <c r="G154" s="66"/>
      <c r="H154" s="70"/>
      <c r="I154" s="71"/>
    </row>
    <row r="155" spans="1:9" ht="15.5" x14ac:dyDescent="0.35">
      <c r="A155" s="64">
        <v>2021</v>
      </c>
      <c r="B155" s="64">
        <v>1</v>
      </c>
      <c r="C155" s="65">
        <v>44197</v>
      </c>
      <c r="D155" s="65">
        <v>44286</v>
      </c>
      <c r="E155" s="66"/>
      <c r="F155" s="66"/>
      <c r="G155" s="66"/>
      <c r="H155" s="70"/>
      <c r="I155" s="71"/>
    </row>
    <row r="156" spans="1:9" ht="15.5" x14ac:dyDescent="0.35">
      <c r="A156" s="89">
        <v>2021</v>
      </c>
      <c r="B156" s="89">
        <v>2</v>
      </c>
      <c r="C156" s="90">
        <v>44287</v>
      </c>
      <c r="D156" s="90">
        <v>44377</v>
      </c>
      <c r="E156" s="91"/>
      <c r="F156" s="92"/>
      <c r="G156" s="92"/>
      <c r="H156" s="93"/>
      <c r="I156" s="110"/>
    </row>
    <row r="157" spans="1:9" ht="15.5" x14ac:dyDescent="0.35">
      <c r="A157" s="64">
        <v>2021</v>
      </c>
      <c r="B157" s="64">
        <v>3</v>
      </c>
      <c r="C157" s="65">
        <v>44378</v>
      </c>
      <c r="D157" s="65">
        <v>44469</v>
      </c>
      <c r="E157" s="66"/>
      <c r="F157" s="73"/>
      <c r="G157" s="73"/>
      <c r="H157" s="111"/>
      <c r="I157" s="188"/>
    </row>
    <row r="158" spans="1:9" ht="15.5" x14ac:dyDescent="0.35">
      <c r="A158" s="64">
        <v>2022</v>
      </c>
      <c r="B158" s="64">
        <v>4</v>
      </c>
      <c r="C158" s="65">
        <v>44470</v>
      </c>
      <c r="D158" s="65">
        <v>44561</v>
      </c>
      <c r="E158" s="66"/>
      <c r="F158" s="73"/>
      <c r="G158" s="73"/>
      <c r="H158" s="111"/>
      <c r="I158" s="110"/>
    </row>
    <row r="159" spans="1:9" ht="15.5" x14ac:dyDescent="0.35">
      <c r="A159" s="64">
        <v>2022</v>
      </c>
      <c r="B159" s="64">
        <v>1</v>
      </c>
      <c r="C159" s="65">
        <v>44562</v>
      </c>
      <c r="D159" s="65">
        <v>44651</v>
      </c>
      <c r="E159" s="66"/>
      <c r="F159" s="73"/>
      <c r="G159" s="73"/>
      <c r="H159" s="111"/>
      <c r="I159" s="110"/>
    </row>
    <row r="160" spans="1:9" ht="15.5" x14ac:dyDescent="0.35">
      <c r="A160" s="64">
        <v>2022</v>
      </c>
      <c r="B160" s="64">
        <v>2</v>
      </c>
      <c r="C160" s="65">
        <v>44652</v>
      </c>
      <c r="D160" s="65">
        <v>44742</v>
      </c>
      <c r="E160" s="66">
        <f>$E$178/13</f>
        <v>19486.76923076923</v>
      </c>
      <c r="F160" s="73">
        <v>0</v>
      </c>
      <c r="G160" s="73">
        <f t="shared" ref="G160:G161" si="35">G159+E160</f>
        <v>19486.76923076923</v>
      </c>
      <c r="H160" s="111">
        <f t="shared" ref="H160:H161" si="36">SUM(H159+F160)</f>
        <v>0</v>
      </c>
      <c r="I160" s="110">
        <f t="shared" ref="I160:I174" si="37">H160/G160</f>
        <v>0</v>
      </c>
    </row>
    <row r="161" spans="1:9" ht="15.5" x14ac:dyDescent="0.35">
      <c r="A161" s="64">
        <v>2022</v>
      </c>
      <c r="B161" s="64">
        <v>3</v>
      </c>
      <c r="C161" s="65">
        <v>44743</v>
      </c>
      <c r="D161" s="65">
        <v>44834</v>
      </c>
      <c r="E161" s="66">
        <f t="shared" ref="E161:E172" si="38">$E$178/13</f>
        <v>19486.76923076923</v>
      </c>
      <c r="F161" s="73">
        <v>120656</v>
      </c>
      <c r="G161" s="73">
        <f t="shared" si="35"/>
        <v>38973.538461538461</v>
      </c>
      <c r="H161" s="111">
        <f t="shared" si="36"/>
        <v>120656</v>
      </c>
      <c r="I161" s="110">
        <f t="shared" si="37"/>
        <v>3.0958441230341691</v>
      </c>
    </row>
    <row r="162" spans="1:9" ht="15.5" x14ac:dyDescent="0.35">
      <c r="A162" s="64">
        <v>2022</v>
      </c>
      <c r="B162" s="64">
        <v>4</v>
      </c>
      <c r="C162" s="65">
        <v>44835</v>
      </c>
      <c r="D162" s="65">
        <v>44926</v>
      </c>
      <c r="E162" s="66">
        <f t="shared" si="38"/>
        <v>19486.76923076923</v>
      </c>
      <c r="F162" s="73">
        <v>34565</v>
      </c>
      <c r="G162" s="73">
        <f>G161+E162</f>
        <v>58460.307692307688</v>
      </c>
      <c r="H162" s="111">
        <f>SUM(H161+F162)</f>
        <v>155221</v>
      </c>
      <c r="I162" s="110">
        <f t="shared" si="37"/>
        <v>2.6551519505673804</v>
      </c>
    </row>
    <row r="163" spans="1:9" ht="15.5" x14ac:dyDescent="0.35">
      <c r="A163" s="64">
        <v>2023</v>
      </c>
      <c r="B163" s="64">
        <v>1</v>
      </c>
      <c r="C163" s="65">
        <v>44927</v>
      </c>
      <c r="D163" s="65">
        <v>45016</v>
      </c>
      <c r="E163" s="66">
        <f t="shared" si="38"/>
        <v>19486.76923076923</v>
      </c>
      <c r="F163" s="73">
        <v>19385.5</v>
      </c>
      <c r="G163" s="73">
        <f t="shared" ref="G163:G177" si="39">G162+E163</f>
        <v>77947.076923076922</v>
      </c>
      <c r="H163" s="111">
        <f t="shared" ref="H163:H176" si="40">SUM(H162+F163)</f>
        <v>174606.5</v>
      </c>
      <c r="I163" s="110">
        <f t="shared" si="37"/>
        <v>2.2400647579422723</v>
      </c>
    </row>
    <row r="164" spans="1:9" ht="15.5" x14ac:dyDescent="0.35">
      <c r="A164" s="64">
        <v>2023</v>
      </c>
      <c r="B164" s="64">
        <v>2</v>
      </c>
      <c r="C164" s="65">
        <v>45017</v>
      </c>
      <c r="D164" s="65">
        <v>45107</v>
      </c>
      <c r="E164" s="66">
        <f t="shared" si="38"/>
        <v>19486.76923076923</v>
      </c>
      <c r="F164" s="73">
        <v>200</v>
      </c>
      <c r="G164" s="73">
        <f t="shared" si="39"/>
        <v>97433.846153846156</v>
      </c>
      <c r="H164" s="111">
        <f t="shared" si="40"/>
        <v>174806.5</v>
      </c>
      <c r="I164" s="110">
        <f t="shared" si="37"/>
        <v>1.7941044811469715</v>
      </c>
    </row>
    <row r="165" spans="1:9" ht="15.5" x14ac:dyDescent="0.35">
      <c r="A165" s="64">
        <v>2023</v>
      </c>
      <c r="B165" s="64">
        <v>3</v>
      </c>
      <c r="C165" s="65">
        <v>45108</v>
      </c>
      <c r="D165" s="65">
        <v>45199</v>
      </c>
      <c r="E165" s="66">
        <f t="shared" si="38"/>
        <v>19486.76923076923</v>
      </c>
      <c r="F165" s="73">
        <v>6517.5</v>
      </c>
      <c r="G165" s="73">
        <f t="shared" si="39"/>
        <v>116920.61538461539</v>
      </c>
      <c r="H165" s="111">
        <f t="shared" si="40"/>
        <v>181324</v>
      </c>
      <c r="I165" s="110">
        <f t="shared" si="37"/>
        <v>1.5508300174740519</v>
      </c>
    </row>
    <row r="166" spans="1:9" ht="15.5" x14ac:dyDescent="0.35">
      <c r="A166" s="64">
        <v>2023</v>
      </c>
      <c r="B166" s="64">
        <v>4</v>
      </c>
      <c r="C166" s="65">
        <v>45200</v>
      </c>
      <c r="D166" s="65">
        <v>45291</v>
      </c>
      <c r="E166" s="66">
        <f t="shared" si="38"/>
        <v>19486.76923076923</v>
      </c>
      <c r="F166" s="73">
        <v>27892.5</v>
      </c>
      <c r="G166" s="73">
        <f t="shared" si="39"/>
        <v>136407.38461538462</v>
      </c>
      <c r="H166" s="111">
        <f t="shared" si="40"/>
        <v>209216.5</v>
      </c>
      <c r="I166" s="110">
        <f t="shared" si="37"/>
        <v>1.5337622709350271</v>
      </c>
    </row>
    <row r="167" spans="1:9" ht="15.5" x14ac:dyDescent="0.35">
      <c r="A167" s="64">
        <v>2024</v>
      </c>
      <c r="B167" s="64">
        <v>1</v>
      </c>
      <c r="C167" s="65">
        <v>45292</v>
      </c>
      <c r="D167" s="65">
        <v>45382</v>
      </c>
      <c r="E167" s="66">
        <f t="shared" si="38"/>
        <v>19486.76923076923</v>
      </c>
      <c r="F167" s="73">
        <v>13542.5</v>
      </c>
      <c r="G167" s="73">
        <f t="shared" si="39"/>
        <v>155894.15384615384</v>
      </c>
      <c r="H167" s="111">
        <f t="shared" si="40"/>
        <v>222759</v>
      </c>
      <c r="I167" s="110">
        <f t="shared" si="37"/>
        <v>1.4289118257752795</v>
      </c>
    </row>
    <row r="168" spans="1:9" ht="15.5" x14ac:dyDescent="0.35">
      <c r="A168" s="64">
        <v>2024</v>
      </c>
      <c r="B168" s="64">
        <v>2</v>
      </c>
      <c r="C168" s="65">
        <v>45383</v>
      </c>
      <c r="D168" s="65">
        <v>45473</v>
      </c>
      <c r="E168" s="66">
        <f t="shared" si="38"/>
        <v>19486.76923076923</v>
      </c>
      <c r="F168" s="73">
        <v>1224.5</v>
      </c>
      <c r="G168" s="73">
        <f t="shared" si="39"/>
        <v>175380.92307692306</v>
      </c>
      <c r="H168" s="111">
        <f t="shared" si="40"/>
        <v>223983.5</v>
      </c>
      <c r="I168" s="110">
        <f t="shared" si="37"/>
        <v>1.2771257903675166</v>
      </c>
    </row>
    <row r="169" spans="1:9" ht="15.5" x14ac:dyDescent="0.35">
      <c r="A169" s="64">
        <v>2024</v>
      </c>
      <c r="B169" s="64">
        <v>3</v>
      </c>
      <c r="C169" s="65">
        <v>45474</v>
      </c>
      <c r="D169" s="65">
        <v>45565</v>
      </c>
      <c r="E169" s="66">
        <f t="shared" si="38"/>
        <v>19486.76923076923</v>
      </c>
      <c r="F169" s="73">
        <v>6482.5</v>
      </c>
      <c r="G169" s="73">
        <f t="shared" si="39"/>
        <v>194867.69230769228</v>
      </c>
      <c r="H169" s="111">
        <f t="shared" si="40"/>
        <v>230466</v>
      </c>
      <c r="I169" s="149">
        <f t="shared" si="37"/>
        <v>1.1826793721973097</v>
      </c>
    </row>
    <row r="170" spans="1:9" ht="15.5" x14ac:dyDescent="0.35">
      <c r="A170" s="64">
        <v>2024</v>
      </c>
      <c r="B170" s="64">
        <v>4</v>
      </c>
      <c r="C170" s="65">
        <v>45566</v>
      </c>
      <c r="D170" s="65">
        <v>45657</v>
      </c>
      <c r="E170" s="147">
        <f t="shared" si="38"/>
        <v>19486.76923076923</v>
      </c>
      <c r="F170" s="18"/>
      <c r="G170" s="18">
        <f t="shared" si="39"/>
        <v>214354.4615384615</v>
      </c>
      <c r="H170" s="50">
        <f t="shared" si="40"/>
        <v>230466</v>
      </c>
      <c r="I170" s="53">
        <f t="shared" si="37"/>
        <v>1.0751630656339177</v>
      </c>
    </row>
    <row r="171" spans="1:9" ht="15.5" x14ac:dyDescent="0.35">
      <c r="A171" s="64">
        <v>2025</v>
      </c>
      <c r="B171" s="64">
        <v>1</v>
      </c>
      <c r="C171" s="65">
        <v>45658</v>
      </c>
      <c r="D171" s="65">
        <v>45747</v>
      </c>
      <c r="E171" s="147">
        <f t="shared" si="38"/>
        <v>19486.76923076923</v>
      </c>
      <c r="F171" s="18"/>
      <c r="G171" s="18">
        <f t="shared" si="39"/>
        <v>233841.23076923072</v>
      </c>
      <c r="H171" s="50">
        <f t="shared" si="40"/>
        <v>230466</v>
      </c>
      <c r="I171" s="53">
        <f t="shared" si="37"/>
        <v>0.98556614349775806</v>
      </c>
    </row>
    <row r="172" spans="1:9" ht="15.5" x14ac:dyDescent="0.35">
      <c r="A172" s="64">
        <v>2025</v>
      </c>
      <c r="B172" s="64">
        <v>2</v>
      </c>
      <c r="C172" s="65">
        <v>45748</v>
      </c>
      <c r="D172" s="65">
        <v>45838</v>
      </c>
      <c r="E172" s="147">
        <f t="shared" si="38"/>
        <v>19486.76923076923</v>
      </c>
      <c r="F172" s="18"/>
      <c r="G172" s="18">
        <f t="shared" si="39"/>
        <v>253327.99999999994</v>
      </c>
      <c r="H172" s="50">
        <f t="shared" si="40"/>
        <v>230466</v>
      </c>
      <c r="I172" s="53">
        <f t="shared" si="37"/>
        <v>0.90975336322869971</v>
      </c>
    </row>
    <row r="173" spans="1:9" ht="15.5" x14ac:dyDescent="0.35">
      <c r="A173" s="64">
        <v>2025</v>
      </c>
      <c r="B173" s="64">
        <v>3</v>
      </c>
      <c r="C173" s="65">
        <v>45839</v>
      </c>
      <c r="D173" s="65">
        <v>45930</v>
      </c>
      <c r="E173" s="32"/>
      <c r="F173" s="18"/>
      <c r="G173" s="18">
        <f t="shared" si="39"/>
        <v>253327.99999999994</v>
      </c>
      <c r="H173" s="50">
        <f t="shared" si="40"/>
        <v>230466</v>
      </c>
      <c r="I173" s="53">
        <f t="shared" si="37"/>
        <v>0.90975336322869971</v>
      </c>
    </row>
    <row r="174" spans="1:9" ht="15.5" x14ac:dyDescent="0.35">
      <c r="A174" s="64">
        <v>2025</v>
      </c>
      <c r="B174" s="64">
        <v>4</v>
      </c>
      <c r="C174" s="65">
        <v>45931</v>
      </c>
      <c r="D174" s="65">
        <v>46022</v>
      </c>
      <c r="E174" s="32"/>
      <c r="F174" s="18"/>
      <c r="G174" s="18">
        <f t="shared" si="39"/>
        <v>253327.99999999994</v>
      </c>
      <c r="H174" s="50">
        <f t="shared" si="40"/>
        <v>230466</v>
      </c>
      <c r="I174" s="53">
        <f t="shared" si="37"/>
        <v>0.90975336322869971</v>
      </c>
    </row>
    <row r="175" spans="1:9" ht="15.5" x14ac:dyDescent="0.35">
      <c r="A175" s="64">
        <v>2026</v>
      </c>
      <c r="B175" s="64">
        <v>1</v>
      </c>
      <c r="C175" s="65">
        <v>46023</v>
      </c>
      <c r="D175" s="65">
        <v>46112</v>
      </c>
      <c r="E175" s="32"/>
      <c r="F175" s="18"/>
      <c r="G175" s="18">
        <f t="shared" si="39"/>
        <v>253327.99999999994</v>
      </c>
      <c r="H175" s="50">
        <f t="shared" si="40"/>
        <v>230466</v>
      </c>
      <c r="I175" s="53">
        <f>H175/G175</f>
        <v>0.90975336322869971</v>
      </c>
    </row>
    <row r="176" spans="1:9" ht="15.5" x14ac:dyDescent="0.35">
      <c r="A176" s="64">
        <v>2026</v>
      </c>
      <c r="B176" s="64">
        <v>2</v>
      </c>
      <c r="C176" s="65">
        <v>46113</v>
      </c>
      <c r="D176" s="65">
        <v>46203</v>
      </c>
      <c r="E176" s="32"/>
      <c r="F176" s="18"/>
      <c r="G176" s="18">
        <f t="shared" si="39"/>
        <v>253327.99999999994</v>
      </c>
      <c r="H176" s="50">
        <f t="shared" si="40"/>
        <v>230466</v>
      </c>
      <c r="I176" s="53">
        <f t="shared" ref="I176:I177" si="41">H176/G176</f>
        <v>0.90975336322869971</v>
      </c>
    </row>
    <row r="177" spans="1:9" ht="15.5" x14ac:dyDescent="0.35">
      <c r="A177" s="64">
        <v>2026</v>
      </c>
      <c r="B177" s="64">
        <v>3</v>
      </c>
      <c r="C177" s="65">
        <v>46204</v>
      </c>
      <c r="D177" s="65">
        <v>46295</v>
      </c>
      <c r="E177" s="32"/>
      <c r="F177" s="18"/>
      <c r="G177" s="18">
        <f t="shared" si="39"/>
        <v>253327.99999999994</v>
      </c>
      <c r="H177" s="50">
        <f>SUM(H176+F177)</f>
        <v>230466</v>
      </c>
      <c r="I177" s="53">
        <f t="shared" si="41"/>
        <v>0.90975336322869971</v>
      </c>
    </row>
    <row r="178" spans="1:9" ht="15" thickBot="1" x14ac:dyDescent="0.4">
      <c r="A178" s="36" t="s">
        <v>12</v>
      </c>
      <c r="B178" s="36"/>
      <c r="C178" s="36"/>
      <c r="D178" s="37"/>
      <c r="E178" s="38">
        <v>253328</v>
      </c>
      <c r="F178" s="34">
        <f>SUM(F154:F177)</f>
        <v>230466</v>
      </c>
      <c r="G178" s="34">
        <f>G177</f>
        <v>253327.99999999994</v>
      </c>
      <c r="H178" s="35">
        <f>H177</f>
        <v>230466</v>
      </c>
      <c r="I178" s="120">
        <f>H178/G178</f>
        <v>0.90975336322869971</v>
      </c>
    </row>
    <row r="179" spans="1:9" ht="15" thickTop="1" x14ac:dyDescent="0.35"/>
    <row r="181" spans="1:9" x14ac:dyDescent="0.35">
      <c r="A181" s="216" t="s">
        <v>124</v>
      </c>
      <c r="B181" s="216"/>
      <c r="C181" s="216"/>
      <c r="D181" s="216"/>
      <c r="E181" s="217"/>
      <c r="F181" s="217"/>
      <c r="G181" s="217"/>
      <c r="H181" s="217"/>
      <c r="I181" s="217"/>
    </row>
    <row r="182" spans="1:9" ht="15" thickBot="1" x14ac:dyDescent="0.4">
      <c r="A182" s="202" t="s">
        <v>0</v>
      </c>
      <c r="B182" s="204"/>
      <c r="C182" s="204"/>
      <c r="D182" s="204"/>
      <c r="E182" s="193" t="s">
        <v>24</v>
      </c>
      <c r="F182" s="193"/>
      <c r="G182" s="193"/>
      <c r="H182" s="193"/>
      <c r="I182" s="194"/>
    </row>
    <row r="183" spans="1:9" ht="44" thickTop="1" x14ac:dyDescent="0.35">
      <c r="A183" s="7" t="s">
        <v>1</v>
      </c>
      <c r="B183" s="7" t="s">
        <v>2</v>
      </c>
      <c r="C183" s="7" t="s">
        <v>3</v>
      </c>
      <c r="D183" s="9" t="s">
        <v>9</v>
      </c>
      <c r="E183" s="19" t="s">
        <v>4</v>
      </c>
      <c r="F183" s="20" t="s">
        <v>6</v>
      </c>
      <c r="G183" s="20" t="s">
        <v>5</v>
      </c>
      <c r="H183" s="48" t="s">
        <v>7</v>
      </c>
      <c r="I183" s="51" t="s">
        <v>8</v>
      </c>
    </row>
    <row r="184" spans="1:9" ht="15.5" x14ac:dyDescent="0.35">
      <c r="A184" s="64">
        <v>2020</v>
      </c>
      <c r="B184" s="64">
        <v>4</v>
      </c>
      <c r="C184" s="65">
        <v>44105</v>
      </c>
      <c r="D184" s="65">
        <v>44196</v>
      </c>
      <c r="E184" s="66"/>
      <c r="F184" s="66"/>
      <c r="G184" s="66"/>
      <c r="H184" s="70"/>
      <c r="I184" s="71"/>
    </row>
    <row r="185" spans="1:9" ht="15.5" x14ac:dyDescent="0.35">
      <c r="A185" s="64">
        <v>2021</v>
      </c>
      <c r="B185" s="64">
        <v>1</v>
      </c>
      <c r="C185" s="65">
        <v>44197</v>
      </c>
      <c r="D185" s="65">
        <v>44286</v>
      </c>
      <c r="E185" s="66"/>
      <c r="F185" s="66"/>
      <c r="G185" s="66"/>
      <c r="H185" s="70"/>
      <c r="I185" s="71"/>
    </row>
    <row r="186" spans="1:9" ht="15.5" x14ac:dyDescent="0.35">
      <c r="A186" s="89">
        <v>2021</v>
      </c>
      <c r="B186" s="89">
        <v>2</v>
      </c>
      <c r="C186" s="90">
        <v>44287</v>
      </c>
      <c r="D186" s="90">
        <v>44377</v>
      </c>
      <c r="E186" s="91"/>
      <c r="F186" s="92"/>
      <c r="G186" s="92"/>
      <c r="H186" s="93"/>
      <c r="I186" s="110"/>
    </row>
    <row r="187" spans="1:9" ht="15.5" x14ac:dyDescent="0.35">
      <c r="A187" s="64">
        <v>2021</v>
      </c>
      <c r="B187" s="64">
        <v>3</v>
      </c>
      <c r="C187" s="65">
        <v>44378</v>
      </c>
      <c r="D187" s="65">
        <v>44469</v>
      </c>
      <c r="E187" s="66"/>
      <c r="F187" s="73"/>
      <c r="G187" s="73"/>
      <c r="H187" s="111"/>
      <c r="I187" s="188"/>
    </row>
    <row r="188" spans="1:9" ht="15.5" x14ac:dyDescent="0.35">
      <c r="A188" s="64">
        <v>2022</v>
      </c>
      <c r="B188" s="64">
        <v>4</v>
      </c>
      <c r="C188" s="65">
        <v>44470</v>
      </c>
      <c r="D188" s="65">
        <v>44561</v>
      </c>
      <c r="E188" s="66"/>
      <c r="F188" s="73"/>
      <c r="G188" s="73"/>
      <c r="H188" s="111"/>
      <c r="I188" s="110"/>
    </row>
    <row r="189" spans="1:9" ht="15.5" x14ac:dyDescent="0.35">
      <c r="A189" s="64">
        <v>2022</v>
      </c>
      <c r="B189" s="64">
        <v>1</v>
      </c>
      <c r="C189" s="65">
        <v>44562</v>
      </c>
      <c r="D189" s="65">
        <v>44651</v>
      </c>
      <c r="E189" s="66">
        <f>$E$208/8</f>
        <v>7776.5</v>
      </c>
      <c r="F189" s="73">
        <v>29039</v>
      </c>
      <c r="G189" s="73">
        <f>G188+E189</f>
        <v>7776.5</v>
      </c>
      <c r="H189" s="111">
        <f t="shared" ref="H189:H191" si="42">SUM(H188+F189)</f>
        <v>29039</v>
      </c>
      <c r="I189" s="110">
        <f t="shared" ref="I189:I204" si="43">H189/G189</f>
        <v>3.7341991898669069</v>
      </c>
    </row>
    <row r="190" spans="1:9" ht="15.5" x14ac:dyDescent="0.35">
      <c r="A190" s="64">
        <v>2022</v>
      </c>
      <c r="B190" s="64">
        <v>2</v>
      </c>
      <c r="C190" s="65">
        <v>44652</v>
      </c>
      <c r="D190" s="65">
        <v>44742</v>
      </c>
      <c r="E190" s="66">
        <f t="shared" ref="E190:E196" si="44">$E$208/8</f>
        <v>7776.5</v>
      </c>
      <c r="F190" s="73">
        <v>0</v>
      </c>
      <c r="G190" s="73">
        <f t="shared" ref="G190:G191" si="45">G189+E190</f>
        <v>15553</v>
      </c>
      <c r="H190" s="111">
        <f t="shared" si="42"/>
        <v>29039</v>
      </c>
      <c r="I190" s="110">
        <f t="shared" si="43"/>
        <v>1.8670995949334535</v>
      </c>
    </row>
    <row r="191" spans="1:9" ht="15.5" x14ac:dyDescent="0.35">
      <c r="A191" s="64">
        <v>2022</v>
      </c>
      <c r="B191" s="64">
        <v>3</v>
      </c>
      <c r="C191" s="65">
        <v>44743</v>
      </c>
      <c r="D191" s="65">
        <v>44834</v>
      </c>
      <c r="E191" s="66">
        <f t="shared" si="44"/>
        <v>7776.5</v>
      </c>
      <c r="F191" s="73">
        <v>0</v>
      </c>
      <c r="G191" s="73">
        <f t="shared" si="45"/>
        <v>23329.5</v>
      </c>
      <c r="H191" s="111">
        <f t="shared" si="42"/>
        <v>29039</v>
      </c>
      <c r="I191" s="110">
        <f t="shared" si="43"/>
        <v>1.2447330632889688</v>
      </c>
    </row>
    <row r="192" spans="1:9" ht="15.5" x14ac:dyDescent="0.35">
      <c r="A192" s="64">
        <v>2022</v>
      </c>
      <c r="B192" s="64">
        <v>4</v>
      </c>
      <c r="C192" s="65">
        <v>44835</v>
      </c>
      <c r="D192" s="65">
        <v>44926</v>
      </c>
      <c r="E192" s="66">
        <f t="shared" si="44"/>
        <v>7776.5</v>
      </c>
      <c r="F192" s="73">
        <v>0</v>
      </c>
      <c r="G192" s="73">
        <f>G191+E192</f>
        <v>31106</v>
      </c>
      <c r="H192" s="111">
        <f>SUM(H191+F192)</f>
        <v>29039</v>
      </c>
      <c r="I192" s="110">
        <f t="shared" si="43"/>
        <v>0.93354979746672673</v>
      </c>
    </row>
    <row r="193" spans="1:9" ht="15.5" x14ac:dyDescent="0.35">
      <c r="A193" s="64">
        <v>2023</v>
      </c>
      <c r="B193" s="64">
        <v>1</v>
      </c>
      <c r="C193" s="65">
        <v>44927</v>
      </c>
      <c r="D193" s="65">
        <v>45016</v>
      </c>
      <c r="E193" s="66">
        <f t="shared" si="44"/>
        <v>7776.5</v>
      </c>
      <c r="F193" s="73">
        <v>0</v>
      </c>
      <c r="G193" s="73">
        <f t="shared" ref="G193:G207" si="46">G192+E193</f>
        <v>38882.5</v>
      </c>
      <c r="H193" s="111">
        <f t="shared" ref="H193:H206" si="47">SUM(H192+F193)</f>
        <v>29039</v>
      </c>
      <c r="I193" s="110">
        <f t="shared" si="43"/>
        <v>0.74683983797338138</v>
      </c>
    </row>
    <row r="194" spans="1:9" ht="15.5" x14ac:dyDescent="0.35">
      <c r="A194" s="64">
        <v>2023</v>
      </c>
      <c r="B194" s="64">
        <v>2</v>
      </c>
      <c r="C194" s="65">
        <v>45017</v>
      </c>
      <c r="D194" s="65">
        <v>45107</v>
      </c>
      <c r="E194" s="66">
        <f t="shared" si="44"/>
        <v>7776.5</v>
      </c>
      <c r="F194" s="73">
        <v>0</v>
      </c>
      <c r="G194" s="73">
        <f t="shared" si="46"/>
        <v>46659</v>
      </c>
      <c r="H194" s="111">
        <f t="shared" si="47"/>
        <v>29039</v>
      </c>
      <c r="I194" s="110">
        <f t="shared" si="43"/>
        <v>0.62236653164448441</v>
      </c>
    </row>
    <row r="195" spans="1:9" ht="15.5" x14ac:dyDescent="0.35">
      <c r="A195" s="64">
        <v>2023</v>
      </c>
      <c r="B195" s="64">
        <v>3</v>
      </c>
      <c r="C195" s="65">
        <v>45108</v>
      </c>
      <c r="D195" s="65">
        <v>45199</v>
      </c>
      <c r="E195" s="66">
        <f t="shared" si="44"/>
        <v>7776.5</v>
      </c>
      <c r="F195" s="73">
        <v>32348.12</v>
      </c>
      <c r="G195" s="73">
        <f t="shared" si="46"/>
        <v>54435.5</v>
      </c>
      <c r="H195" s="111">
        <f t="shared" si="47"/>
        <v>61387.119999999995</v>
      </c>
      <c r="I195" s="110">
        <f t="shared" si="43"/>
        <v>1.1277037962359122</v>
      </c>
    </row>
    <row r="196" spans="1:9" ht="15.5" x14ac:dyDescent="0.35">
      <c r="A196" s="64">
        <v>2023</v>
      </c>
      <c r="B196" s="64">
        <v>4</v>
      </c>
      <c r="C196" s="65">
        <v>45200</v>
      </c>
      <c r="D196" s="65">
        <v>45291</v>
      </c>
      <c r="E196" s="66">
        <f t="shared" si="44"/>
        <v>7776.5</v>
      </c>
      <c r="F196" s="73">
        <v>824.88</v>
      </c>
      <c r="G196" s="73">
        <f t="shared" si="46"/>
        <v>62212</v>
      </c>
      <c r="H196" s="111">
        <f t="shared" si="47"/>
        <v>62211.999999999993</v>
      </c>
      <c r="I196" s="110">
        <f t="shared" si="43"/>
        <v>0.99999999999999989</v>
      </c>
    </row>
    <row r="197" spans="1:9" ht="15.5" x14ac:dyDescent="0.35">
      <c r="A197" s="64">
        <v>2024</v>
      </c>
      <c r="B197" s="64">
        <v>1</v>
      </c>
      <c r="C197" s="65">
        <v>45292</v>
      </c>
      <c r="D197" s="65">
        <v>45382</v>
      </c>
      <c r="E197" s="66"/>
      <c r="F197" s="73"/>
      <c r="G197" s="73">
        <f t="shared" si="46"/>
        <v>62212</v>
      </c>
      <c r="H197" s="111">
        <f t="shared" si="47"/>
        <v>62211.999999999993</v>
      </c>
      <c r="I197" s="110">
        <f t="shared" si="43"/>
        <v>0.99999999999999989</v>
      </c>
    </row>
    <row r="198" spans="1:9" ht="15.5" x14ac:dyDescent="0.35">
      <c r="A198" s="64">
        <v>2024</v>
      </c>
      <c r="B198" s="64">
        <v>2</v>
      </c>
      <c r="C198" s="65">
        <v>45383</v>
      </c>
      <c r="D198" s="65">
        <v>45473</v>
      </c>
      <c r="E198" s="66"/>
      <c r="F198" s="73"/>
      <c r="G198" s="73">
        <f t="shared" si="46"/>
        <v>62212</v>
      </c>
      <c r="H198" s="111">
        <f t="shared" si="47"/>
        <v>62211.999999999993</v>
      </c>
      <c r="I198" s="110">
        <f t="shared" si="43"/>
        <v>0.99999999999999989</v>
      </c>
    </row>
    <row r="199" spans="1:9" ht="15.5" x14ac:dyDescent="0.35">
      <c r="A199" s="64">
        <v>2024</v>
      </c>
      <c r="B199" s="64">
        <v>3</v>
      </c>
      <c r="C199" s="65">
        <v>45474</v>
      </c>
      <c r="D199" s="65">
        <v>45565</v>
      </c>
      <c r="E199" s="66"/>
      <c r="F199" s="73"/>
      <c r="G199" s="73">
        <f t="shared" si="46"/>
        <v>62212</v>
      </c>
      <c r="H199" s="111">
        <f t="shared" si="47"/>
        <v>62211.999999999993</v>
      </c>
      <c r="I199" s="149">
        <f t="shared" si="43"/>
        <v>0.99999999999999989</v>
      </c>
    </row>
    <row r="200" spans="1:9" ht="15.5" x14ac:dyDescent="0.35">
      <c r="A200" s="64">
        <v>2024</v>
      </c>
      <c r="B200" s="64">
        <v>4</v>
      </c>
      <c r="C200" s="65">
        <v>45566</v>
      </c>
      <c r="D200" s="65">
        <v>45657</v>
      </c>
      <c r="E200" s="66"/>
      <c r="F200" s="73"/>
      <c r="G200" s="73">
        <f t="shared" si="46"/>
        <v>62212</v>
      </c>
      <c r="H200" s="111">
        <f t="shared" si="47"/>
        <v>62211.999999999993</v>
      </c>
      <c r="I200" s="149">
        <f t="shared" si="43"/>
        <v>0.99999999999999989</v>
      </c>
    </row>
    <row r="201" spans="1:9" ht="15.5" x14ac:dyDescent="0.35">
      <c r="A201" s="64">
        <v>2025</v>
      </c>
      <c r="B201" s="64">
        <v>1</v>
      </c>
      <c r="C201" s="65">
        <v>45658</v>
      </c>
      <c r="D201" s="65">
        <v>45747</v>
      </c>
      <c r="E201" s="66"/>
      <c r="F201" s="73"/>
      <c r="G201" s="73">
        <f t="shared" si="46"/>
        <v>62212</v>
      </c>
      <c r="H201" s="111">
        <f t="shared" si="47"/>
        <v>62211.999999999993</v>
      </c>
      <c r="I201" s="149">
        <f t="shared" si="43"/>
        <v>0.99999999999999989</v>
      </c>
    </row>
    <row r="202" spans="1:9" ht="15.5" x14ac:dyDescent="0.35">
      <c r="A202" s="64">
        <v>2025</v>
      </c>
      <c r="B202" s="64">
        <v>2</v>
      </c>
      <c r="C202" s="65">
        <v>45748</v>
      </c>
      <c r="D202" s="65">
        <v>45838</v>
      </c>
      <c r="E202" s="66"/>
      <c r="F202" s="73"/>
      <c r="G202" s="73">
        <f t="shared" si="46"/>
        <v>62212</v>
      </c>
      <c r="H202" s="111">
        <f t="shared" si="47"/>
        <v>62211.999999999993</v>
      </c>
      <c r="I202" s="149">
        <f t="shared" si="43"/>
        <v>0.99999999999999989</v>
      </c>
    </row>
    <row r="203" spans="1:9" ht="15.5" x14ac:dyDescent="0.35">
      <c r="A203" s="64">
        <v>2025</v>
      </c>
      <c r="B203" s="64">
        <v>3</v>
      </c>
      <c r="C203" s="65">
        <v>45839</v>
      </c>
      <c r="D203" s="65">
        <v>45930</v>
      </c>
      <c r="E203" s="66"/>
      <c r="F203" s="73"/>
      <c r="G203" s="73">
        <f t="shared" si="46"/>
        <v>62212</v>
      </c>
      <c r="H203" s="111">
        <f t="shared" si="47"/>
        <v>62211.999999999993</v>
      </c>
      <c r="I203" s="149">
        <f t="shared" si="43"/>
        <v>0.99999999999999989</v>
      </c>
    </row>
    <row r="204" spans="1:9" ht="15.5" x14ac:dyDescent="0.35">
      <c r="A204" s="64">
        <v>2025</v>
      </c>
      <c r="B204" s="64">
        <v>4</v>
      </c>
      <c r="C204" s="65">
        <v>45931</v>
      </c>
      <c r="D204" s="65">
        <v>46022</v>
      </c>
      <c r="E204" s="66"/>
      <c r="F204" s="73"/>
      <c r="G204" s="73">
        <f t="shared" si="46"/>
        <v>62212</v>
      </c>
      <c r="H204" s="111">
        <f t="shared" si="47"/>
        <v>62211.999999999993</v>
      </c>
      <c r="I204" s="149">
        <f t="shared" si="43"/>
        <v>0.99999999999999989</v>
      </c>
    </row>
    <row r="205" spans="1:9" ht="15.5" x14ac:dyDescent="0.35">
      <c r="A205" s="64">
        <v>2026</v>
      </c>
      <c r="B205" s="64">
        <v>1</v>
      </c>
      <c r="C205" s="65">
        <v>46023</v>
      </c>
      <c r="D205" s="65">
        <v>46112</v>
      </c>
      <c r="E205" s="66"/>
      <c r="F205" s="73"/>
      <c r="G205" s="73">
        <f t="shared" si="46"/>
        <v>62212</v>
      </c>
      <c r="H205" s="111">
        <f t="shared" si="47"/>
        <v>62211.999999999993</v>
      </c>
      <c r="I205" s="149">
        <f>H205/G205</f>
        <v>0.99999999999999989</v>
      </c>
    </row>
    <row r="206" spans="1:9" ht="15.5" x14ac:dyDescent="0.35">
      <c r="A206" s="64">
        <v>2026</v>
      </c>
      <c r="B206" s="64">
        <v>2</v>
      </c>
      <c r="C206" s="65">
        <v>46113</v>
      </c>
      <c r="D206" s="65">
        <v>46203</v>
      </c>
      <c r="E206" s="66"/>
      <c r="F206" s="73"/>
      <c r="G206" s="73">
        <f t="shared" si="46"/>
        <v>62212</v>
      </c>
      <c r="H206" s="111">
        <f t="shared" si="47"/>
        <v>62211.999999999993</v>
      </c>
      <c r="I206" s="149">
        <f t="shared" ref="I206:I207" si="48">H206/G206</f>
        <v>0.99999999999999989</v>
      </c>
    </row>
    <row r="207" spans="1:9" ht="15.5" x14ac:dyDescent="0.35">
      <c r="A207" s="64">
        <v>2026</v>
      </c>
      <c r="B207" s="64">
        <v>3</v>
      </c>
      <c r="C207" s="65">
        <v>46204</v>
      </c>
      <c r="D207" s="65">
        <v>46295</v>
      </c>
      <c r="E207" s="66"/>
      <c r="F207" s="73"/>
      <c r="G207" s="73">
        <f t="shared" si="46"/>
        <v>62212</v>
      </c>
      <c r="H207" s="111">
        <f>SUM(H206+F207)</f>
        <v>62211.999999999993</v>
      </c>
      <c r="I207" s="149">
        <f t="shared" si="48"/>
        <v>0.99999999999999989</v>
      </c>
    </row>
    <row r="208" spans="1:9" ht="15" thickBot="1" x14ac:dyDescent="0.4">
      <c r="A208" s="133" t="s">
        <v>12</v>
      </c>
      <c r="B208" s="133"/>
      <c r="C208" s="133"/>
      <c r="D208" s="134"/>
      <c r="E208" s="135">
        <v>62212</v>
      </c>
      <c r="F208" s="136">
        <f>SUM(F184:F207)</f>
        <v>62211.999999999993</v>
      </c>
      <c r="G208" s="136">
        <f>G207</f>
        <v>62212</v>
      </c>
      <c r="H208" s="137">
        <f>H207</f>
        <v>62211.999999999993</v>
      </c>
      <c r="I208" s="148">
        <f>H208/G208</f>
        <v>0.99999999999999989</v>
      </c>
    </row>
    <row r="209" spans="1:9" ht="15" thickTop="1" x14ac:dyDescent="0.35"/>
    <row r="211" spans="1:9" x14ac:dyDescent="0.35">
      <c r="A211" s="216" t="s">
        <v>125</v>
      </c>
      <c r="B211" s="216"/>
      <c r="C211" s="216"/>
      <c r="D211" s="216"/>
      <c r="E211" s="217"/>
      <c r="F211" s="217"/>
      <c r="G211" s="217"/>
      <c r="H211" s="217"/>
      <c r="I211" s="217"/>
    </row>
    <row r="212" spans="1:9" ht="15" thickBot="1" x14ac:dyDescent="0.4">
      <c r="A212" s="202" t="s">
        <v>0</v>
      </c>
      <c r="B212" s="204"/>
      <c r="C212" s="204"/>
      <c r="D212" s="204"/>
      <c r="E212" s="193" t="s">
        <v>24</v>
      </c>
      <c r="F212" s="193"/>
      <c r="G212" s="193"/>
      <c r="H212" s="193"/>
      <c r="I212" s="194"/>
    </row>
    <row r="213" spans="1:9" ht="44" thickTop="1" x14ac:dyDescent="0.35">
      <c r="A213" s="7" t="s">
        <v>1</v>
      </c>
      <c r="B213" s="7" t="s">
        <v>2</v>
      </c>
      <c r="C213" s="7" t="s">
        <v>3</v>
      </c>
      <c r="D213" s="9" t="s">
        <v>9</v>
      </c>
      <c r="E213" s="19" t="s">
        <v>4</v>
      </c>
      <c r="F213" s="20" t="s">
        <v>6</v>
      </c>
      <c r="G213" s="20" t="s">
        <v>5</v>
      </c>
      <c r="H213" s="48" t="s">
        <v>7</v>
      </c>
      <c r="I213" s="51" t="s">
        <v>8</v>
      </c>
    </row>
    <row r="214" spans="1:9" ht="15.5" x14ac:dyDescent="0.35">
      <c r="A214" s="64">
        <v>2020</v>
      </c>
      <c r="B214" s="64">
        <v>4</v>
      </c>
      <c r="C214" s="65">
        <v>44105</v>
      </c>
      <c r="D214" s="65">
        <v>44196</v>
      </c>
      <c r="E214" s="66"/>
      <c r="F214" s="66"/>
      <c r="G214" s="66"/>
      <c r="H214" s="70"/>
      <c r="I214" s="71"/>
    </row>
    <row r="215" spans="1:9" ht="15.5" x14ac:dyDescent="0.35">
      <c r="A215" s="64">
        <v>2021</v>
      </c>
      <c r="B215" s="64">
        <v>1</v>
      </c>
      <c r="C215" s="65">
        <v>44197</v>
      </c>
      <c r="D215" s="65">
        <v>44286</v>
      </c>
      <c r="E215" s="66"/>
      <c r="F215" s="66"/>
      <c r="G215" s="66"/>
      <c r="H215" s="70"/>
      <c r="I215" s="71"/>
    </row>
    <row r="216" spans="1:9" ht="15.5" x14ac:dyDescent="0.35">
      <c r="A216" s="89">
        <v>2021</v>
      </c>
      <c r="B216" s="89">
        <v>2</v>
      </c>
      <c r="C216" s="90">
        <v>44287</v>
      </c>
      <c r="D216" s="90">
        <v>44377</v>
      </c>
      <c r="E216" s="91"/>
      <c r="F216" s="92"/>
      <c r="G216" s="92"/>
      <c r="H216" s="93"/>
      <c r="I216" s="110"/>
    </row>
    <row r="217" spans="1:9" ht="15.5" x14ac:dyDescent="0.35">
      <c r="A217" s="64">
        <v>2021</v>
      </c>
      <c r="B217" s="64">
        <v>3</v>
      </c>
      <c r="C217" s="65">
        <v>44378</v>
      </c>
      <c r="D217" s="65">
        <v>44469</v>
      </c>
      <c r="E217" s="66"/>
      <c r="F217" s="73"/>
      <c r="G217" s="73"/>
      <c r="H217" s="111"/>
      <c r="I217" s="188"/>
    </row>
    <row r="218" spans="1:9" ht="15.5" x14ac:dyDescent="0.35">
      <c r="A218" s="64">
        <v>2022</v>
      </c>
      <c r="B218" s="64">
        <v>4</v>
      </c>
      <c r="C218" s="65">
        <v>44470</v>
      </c>
      <c r="D218" s="65">
        <v>44561</v>
      </c>
      <c r="E218" s="66"/>
      <c r="F218" s="73"/>
      <c r="G218" s="73"/>
      <c r="H218" s="111"/>
      <c r="I218" s="110"/>
    </row>
    <row r="219" spans="1:9" ht="15.5" x14ac:dyDescent="0.35">
      <c r="A219" s="64">
        <v>2022</v>
      </c>
      <c r="B219" s="64">
        <v>1</v>
      </c>
      <c r="C219" s="65">
        <v>44562</v>
      </c>
      <c r="D219" s="65">
        <v>44651</v>
      </c>
      <c r="E219" s="66"/>
      <c r="F219" s="73"/>
      <c r="G219" s="73"/>
      <c r="H219" s="111"/>
      <c r="I219" s="110"/>
    </row>
    <row r="220" spans="1:9" ht="15.5" x14ac:dyDescent="0.35">
      <c r="A220" s="64">
        <v>2022</v>
      </c>
      <c r="B220" s="64">
        <v>2</v>
      </c>
      <c r="C220" s="65">
        <v>44652</v>
      </c>
      <c r="D220" s="65">
        <v>44742</v>
      </c>
      <c r="E220" s="66"/>
      <c r="F220" s="73"/>
      <c r="G220" s="73"/>
      <c r="H220" s="111"/>
      <c r="I220" s="110"/>
    </row>
    <row r="221" spans="1:9" ht="15.5" x14ac:dyDescent="0.35">
      <c r="A221" s="64">
        <v>2022</v>
      </c>
      <c r="B221" s="64">
        <v>3</v>
      </c>
      <c r="C221" s="65">
        <v>44743</v>
      </c>
      <c r="D221" s="65">
        <v>44834</v>
      </c>
      <c r="E221" s="66"/>
      <c r="F221" s="73"/>
      <c r="G221" s="73"/>
      <c r="H221" s="111"/>
      <c r="I221" s="110"/>
    </row>
    <row r="222" spans="1:9" ht="15.5" x14ac:dyDescent="0.35">
      <c r="A222" s="64">
        <v>2022</v>
      </c>
      <c r="B222" s="64">
        <v>4</v>
      </c>
      <c r="C222" s="65">
        <v>44835</v>
      </c>
      <c r="D222" s="65">
        <v>44926</v>
      </c>
      <c r="E222" s="66"/>
      <c r="F222" s="73"/>
      <c r="G222" s="73"/>
      <c r="H222" s="111"/>
      <c r="I222" s="110"/>
    </row>
    <row r="223" spans="1:9" ht="15.5" x14ac:dyDescent="0.35">
      <c r="A223" s="64">
        <v>2023</v>
      </c>
      <c r="B223" s="64">
        <v>1</v>
      </c>
      <c r="C223" s="65">
        <v>44927</v>
      </c>
      <c r="D223" s="65">
        <v>45016</v>
      </c>
      <c r="E223" s="66"/>
      <c r="F223" s="73"/>
      <c r="G223" s="73"/>
      <c r="H223" s="111"/>
      <c r="I223" s="110"/>
    </row>
    <row r="224" spans="1:9" ht="15.5" x14ac:dyDescent="0.35">
      <c r="A224" s="64">
        <v>2023</v>
      </c>
      <c r="B224" s="64">
        <v>2</v>
      </c>
      <c r="C224" s="65">
        <v>45017</v>
      </c>
      <c r="D224" s="65">
        <v>45107</v>
      </c>
      <c r="E224" s="66"/>
      <c r="F224" s="73"/>
      <c r="G224" s="73"/>
      <c r="H224" s="111"/>
      <c r="I224" s="110"/>
    </row>
    <row r="225" spans="1:9" ht="15.5" x14ac:dyDescent="0.35">
      <c r="A225" s="64">
        <v>2023</v>
      </c>
      <c r="B225" s="64">
        <v>3</v>
      </c>
      <c r="C225" s="65">
        <v>45108</v>
      </c>
      <c r="D225" s="65">
        <v>45199</v>
      </c>
      <c r="E225" s="66"/>
      <c r="F225" s="73"/>
      <c r="G225" s="73"/>
      <c r="H225" s="111"/>
      <c r="I225" s="110"/>
    </row>
    <row r="226" spans="1:9" ht="15.5" x14ac:dyDescent="0.35">
      <c r="A226" s="64">
        <v>2023</v>
      </c>
      <c r="B226" s="64">
        <v>4</v>
      </c>
      <c r="C226" s="65">
        <v>45200</v>
      </c>
      <c r="D226" s="65">
        <v>45291</v>
      </c>
      <c r="E226" s="66">
        <f>$E$238/12</f>
        <v>9958.3333333333339</v>
      </c>
      <c r="F226" s="73">
        <v>0</v>
      </c>
      <c r="G226" s="73">
        <f t="shared" ref="G226:G237" si="49">G225+E226</f>
        <v>9958.3333333333339</v>
      </c>
      <c r="H226" s="111">
        <f t="shared" ref="H226:H236" si="50">SUM(H225+F226)</f>
        <v>0</v>
      </c>
      <c r="I226" s="110">
        <f t="shared" ref="I226:I234" si="51">H226/G226</f>
        <v>0</v>
      </c>
    </row>
    <row r="227" spans="1:9" ht="15.5" x14ac:dyDescent="0.35">
      <c r="A227" s="1">
        <v>2024</v>
      </c>
      <c r="B227" s="1">
        <v>1</v>
      </c>
      <c r="C227" s="2">
        <v>45292</v>
      </c>
      <c r="D227" s="2">
        <v>45382</v>
      </c>
      <c r="E227" s="147">
        <f t="shared" ref="E227:E237" si="52">$E$238/12</f>
        <v>9958.3333333333339</v>
      </c>
      <c r="F227" s="17"/>
      <c r="G227" s="17">
        <f t="shared" si="49"/>
        <v>19916.666666666668</v>
      </c>
      <c r="H227" s="49">
        <f t="shared" si="50"/>
        <v>0</v>
      </c>
      <c r="I227" s="52">
        <f t="shared" si="51"/>
        <v>0</v>
      </c>
    </row>
    <row r="228" spans="1:9" ht="15.5" x14ac:dyDescent="0.35">
      <c r="A228" s="1">
        <v>2024</v>
      </c>
      <c r="B228" s="1">
        <v>2</v>
      </c>
      <c r="C228" s="2">
        <v>45383</v>
      </c>
      <c r="D228" s="2">
        <v>45473</v>
      </c>
      <c r="E228" s="147">
        <f t="shared" si="52"/>
        <v>9958.3333333333339</v>
      </c>
      <c r="F228" s="17"/>
      <c r="G228" s="17">
        <f t="shared" si="49"/>
        <v>29875</v>
      </c>
      <c r="H228" s="49">
        <f t="shared" si="50"/>
        <v>0</v>
      </c>
      <c r="I228" s="52">
        <f t="shared" si="51"/>
        <v>0</v>
      </c>
    </row>
    <row r="229" spans="1:9" ht="15.5" x14ac:dyDescent="0.35">
      <c r="A229" s="1">
        <v>2024</v>
      </c>
      <c r="B229" s="1">
        <v>3</v>
      </c>
      <c r="C229" s="2">
        <v>45474</v>
      </c>
      <c r="D229" s="2">
        <v>45565</v>
      </c>
      <c r="E229" s="147">
        <f t="shared" si="52"/>
        <v>9958.3333333333339</v>
      </c>
      <c r="F229" s="17"/>
      <c r="G229" s="17">
        <f t="shared" si="49"/>
        <v>39833.333333333336</v>
      </c>
      <c r="H229" s="49">
        <f t="shared" si="50"/>
        <v>0</v>
      </c>
      <c r="I229" s="150">
        <f t="shared" si="51"/>
        <v>0</v>
      </c>
    </row>
    <row r="230" spans="1:9" ht="15.5" x14ac:dyDescent="0.35">
      <c r="A230" s="1">
        <v>2024</v>
      </c>
      <c r="B230" s="1">
        <v>4</v>
      </c>
      <c r="C230" s="2">
        <v>45566</v>
      </c>
      <c r="D230" s="2">
        <v>45657</v>
      </c>
      <c r="E230" s="147">
        <f t="shared" si="52"/>
        <v>9958.3333333333339</v>
      </c>
      <c r="F230" s="17"/>
      <c r="G230" s="17">
        <f t="shared" si="49"/>
        <v>49791.666666666672</v>
      </c>
      <c r="H230" s="49">
        <f t="shared" si="50"/>
        <v>0</v>
      </c>
      <c r="I230" s="150">
        <f t="shared" si="51"/>
        <v>0</v>
      </c>
    </row>
    <row r="231" spans="1:9" ht="15.5" x14ac:dyDescent="0.35">
      <c r="A231" s="1">
        <v>2025</v>
      </c>
      <c r="B231" s="1">
        <v>1</v>
      </c>
      <c r="C231" s="2">
        <v>45658</v>
      </c>
      <c r="D231" s="2">
        <v>45747</v>
      </c>
      <c r="E231" s="147">
        <f t="shared" si="52"/>
        <v>9958.3333333333339</v>
      </c>
      <c r="F231" s="17"/>
      <c r="G231" s="17">
        <f t="shared" si="49"/>
        <v>59750.000000000007</v>
      </c>
      <c r="H231" s="49">
        <f t="shared" si="50"/>
        <v>0</v>
      </c>
      <c r="I231" s="150">
        <f t="shared" si="51"/>
        <v>0</v>
      </c>
    </row>
    <row r="232" spans="1:9" ht="15.5" x14ac:dyDescent="0.35">
      <c r="A232" s="1">
        <v>2025</v>
      </c>
      <c r="B232" s="1">
        <v>2</v>
      </c>
      <c r="C232" s="2">
        <v>45748</v>
      </c>
      <c r="D232" s="2">
        <v>45838</v>
      </c>
      <c r="E232" s="147">
        <f t="shared" si="52"/>
        <v>9958.3333333333339</v>
      </c>
      <c r="F232" s="17"/>
      <c r="G232" s="17">
        <f t="shared" si="49"/>
        <v>69708.333333333343</v>
      </c>
      <c r="H232" s="49">
        <f t="shared" si="50"/>
        <v>0</v>
      </c>
      <c r="I232" s="150">
        <f t="shared" si="51"/>
        <v>0</v>
      </c>
    </row>
    <row r="233" spans="1:9" ht="15.5" x14ac:dyDescent="0.35">
      <c r="A233" s="1">
        <v>2025</v>
      </c>
      <c r="B233" s="1">
        <v>3</v>
      </c>
      <c r="C233" s="2">
        <v>45839</v>
      </c>
      <c r="D233" s="2">
        <v>45930</v>
      </c>
      <c r="E233" s="147">
        <f t="shared" si="52"/>
        <v>9958.3333333333339</v>
      </c>
      <c r="F233" s="17"/>
      <c r="G233" s="17">
        <f t="shared" si="49"/>
        <v>79666.666666666672</v>
      </c>
      <c r="H233" s="49">
        <f t="shared" si="50"/>
        <v>0</v>
      </c>
      <c r="I233" s="150">
        <f t="shared" si="51"/>
        <v>0</v>
      </c>
    </row>
    <row r="234" spans="1:9" ht="15.5" x14ac:dyDescent="0.35">
      <c r="A234" s="1">
        <v>2025</v>
      </c>
      <c r="B234" s="1">
        <v>4</v>
      </c>
      <c r="C234" s="2">
        <v>45931</v>
      </c>
      <c r="D234" s="2">
        <v>46022</v>
      </c>
      <c r="E234" s="147">
        <f t="shared" si="52"/>
        <v>9958.3333333333339</v>
      </c>
      <c r="F234" s="17"/>
      <c r="G234" s="17">
        <f t="shared" si="49"/>
        <v>89625</v>
      </c>
      <c r="H234" s="49">
        <f t="shared" si="50"/>
        <v>0</v>
      </c>
      <c r="I234" s="150">
        <f t="shared" si="51"/>
        <v>0</v>
      </c>
    </row>
    <row r="235" spans="1:9" ht="15.5" x14ac:dyDescent="0.35">
      <c r="A235" s="1">
        <v>2026</v>
      </c>
      <c r="B235" s="1">
        <v>1</v>
      </c>
      <c r="C235" s="2">
        <v>46023</v>
      </c>
      <c r="D235" s="2">
        <v>46112</v>
      </c>
      <c r="E235" s="147">
        <f t="shared" si="52"/>
        <v>9958.3333333333339</v>
      </c>
      <c r="F235" s="17"/>
      <c r="G235" s="17">
        <f t="shared" si="49"/>
        <v>99583.333333333328</v>
      </c>
      <c r="H235" s="49">
        <f t="shared" si="50"/>
        <v>0</v>
      </c>
      <c r="I235" s="150">
        <f>H235/G235</f>
        <v>0</v>
      </c>
    </row>
    <row r="236" spans="1:9" ht="15.5" x14ac:dyDescent="0.35">
      <c r="A236" s="1">
        <v>2026</v>
      </c>
      <c r="B236" s="1">
        <v>2</v>
      </c>
      <c r="C236" s="2">
        <v>46113</v>
      </c>
      <c r="D236" s="2">
        <v>46203</v>
      </c>
      <c r="E236" s="147">
        <f t="shared" si="52"/>
        <v>9958.3333333333339</v>
      </c>
      <c r="F236" s="17"/>
      <c r="G236" s="17">
        <f t="shared" si="49"/>
        <v>109541.66666666666</v>
      </c>
      <c r="H236" s="49">
        <f t="shared" si="50"/>
        <v>0</v>
      </c>
      <c r="I236" s="150">
        <f t="shared" ref="I236:I237" si="53">H236/G236</f>
        <v>0</v>
      </c>
    </row>
    <row r="237" spans="1:9" ht="15.5" x14ac:dyDescent="0.35">
      <c r="A237" s="1">
        <v>2026</v>
      </c>
      <c r="B237" s="1">
        <v>3</v>
      </c>
      <c r="C237" s="2">
        <v>46204</v>
      </c>
      <c r="D237" s="2">
        <v>46295</v>
      </c>
      <c r="E237" s="147">
        <f t="shared" si="52"/>
        <v>9958.3333333333339</v>
      </c>
      <c r="F237" s="17"/>
      <c r="G237" s="17">
        <f t="shared" si="49"/>
        <v>119499.99999999999</v>
      </c>
      <c r="H237" s="49">
        <f>SUM(H236+F237)</f>
        <v>0</v>
      </c>
      <c r="I237" s="150">
        <f t="shared" si="53"/>
        <v>0</v>
      </c>
    </row>
    <row r="238" spans="1:9" ht="15" thickBot="1" x14ac:dyDescent="0.4">
      <c r="A238" s="36" t="s">
        <v>12</v>
      </c>
      <c r="B238" s="36"/>
      <c r="C238" s="36"/>
      <c r="D238" s="37"/>
      <c r="E238" s="38">
        <v>119500</v>
      </c>
      <c r="F238" s="34">
        <f>SUM(F214:F237)</f>
        <v>0</v>
      </c>
      <c r="G238" s="34">
        <f>G237</f>
        <v>119499.99999999999</v>
      </c>
      <c r="H238" s="35">
        <f>H237</f>
        <v>0</v>
      </c>
      <c r="I238" s="120">
        <f>H238/G238</f>
        <v>0</v>
      </c>
    </row>
    <row r="239" spans="1:9" ht="15" thickTop="1" x14ac:dyDescent="0.35"/>
    <row r="269" spans="5:5" x14ac:dyDescent="0.35">
      <c r="E269" s="5"/>
    </row>
  </sheetData>
  <mergeCells count="24">
    <mergeCell ref="A91:I91"/>
    <mergeCell ref="A92:D92"/>
    <mergeCell ref="E92:I92"/>
    <mergeCell ref="A61:I61"/>
    <mergeCell ref="A62:D62"/>
    <mergeCell ref="E62:I62"/>
    <mergeCell ref="A1:I1"/>
    <mergeCell ref="A2:D2"/>
    <mergeCell ref="E2:I2"/>
    <mergeCell ref="A31:I31"/>
    <mergeCell ref="A32:D32"/>
    <mergeCell ref="E32:I32"/>
    <mergeCell ref="A121:I121"/>
    <mergeCell ref="A122:D122"/>
    <mergeCell ref="E122:I122"/>
    <mergeCell ref="A151:I151"/>
    <mergeCell ref="A152:D152"/>
    <mergeCell ref="E152:I152"/>
    <mergeCell ref="A181:I181"/>
    <mergeCell ref="A182:D182"/>
    <mergeCell ref="E182:I182"/>
    <mergeCell ref="A211:I211"/>
    <mergeCell ref="A212:D212"/>
    <mergeCell ref="E212:I21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F9A500805094E93638FF8ADDC167A" ma:contentTypeVersion="19" ma:contentTypeDescription="Create a new document." ma:contentTypeScope="" ma:versionID="344d68760222d99c035059e56f8774b5">
  <xsd:schema xmlns:xsd="http://www.w3.org/2001/XMLSchema" xmlns:xs="http://www.w3.org/2001/XMLSchema" xmlns:p="http://schemas.microsoft.com/office/2006/metadata/properties" xmlns:ns2="5483e490-0af1-4a6b-be95-53a173d9a4b5" xmlns:ns3="e5a521f0-a6f6-4edd-9f17-67aab279c36f" targetNamespace="http://schemas.microsoft.com/office/2006/metadata/properties" ma:root="true" ma:fieldsID="c3348156dca3f09bde7f83b4df24312c" ns2:_="" ns3:_="">
    <xsd:import namespace="5483e490-0af1-4a6b-be95-53a173d9a4b5"/>
    <xsd:import namespace="e5a521f0-a6f6-4edd-9f17-67aab279c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3e490-0af1-4a6b-be95-53a173d9a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26" nillable="true" ma:displayName="Number" ma:format="Dropdown" ma:internalName="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521f0-a6f6-4edd-9f17-67aab279c3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18fcdf4-516c-4f06-a150-c281679c830b}" ma:internalName="TaxCatchAll" ma:showField="CatchAllData" ma:web="e5a521f0-a6f6-4edd-9f17-67aab279c3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a521f0-a6f6-4edd-9f17-67aab279c36f" xsi:nil="true"/>
    <lcf76f155ced4ddcb4097134ff3c332f xmlns="5483e490-0af1-4a6b-be95-53a173d9a4b5">
      <Terms xmlns="http://schemas.microsoft.com/office/infopath/2007/PartnerControls"/>
    </lcf76f155ced4ddcb4097134ff3c332f>
    <Number xmlns="5483e490-0af1-4a6b-be95-53a173d9a4b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D31BF-8E5D-4819-AAD4-EE0ED37EA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3e490-0af1-4a6b-be95-53a173d9a4b5"/>
    <ds:schemaRef ds:uri="e5a521f0-a6f6-4edd-9f17-67aab279c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8737B6-E8DB-4CDE-B652-3214252A15BF}">
  <ds:schemaRefs>
    <ds:schemaRef ds:uri="5483e490-0af1-4a6b-be95-53a173d9a4b5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e5a521f0-a6f6-4edd-9f17-67aab279c36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A14D09-C516-4919-9D3C-84209D7128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Outcome Projections</vt:lpstr>
      <vt:lpstr>Financial Projections</vt:lpstr>
      <vt:lpstr>New Single Family Housing</vt:lpstr>
      <vt:lpstr>New Rental Housing</vt:lpstr>
      <vt:lpstr>Buyouts</vt:lpstr>
      <vt:lpstr>Stormwater Infrastructure</vt:lpstr>
      <vt:lpstr>Planning</vt:lpstr>
      <vt:lpstr>Admin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 Levang</dc:creator>
  <cp:keywords/>
  <dc:description/>
  <cp:lastModifiedBy>Steven Stransky</cp:lastModifiedBy>
  <cp:revision/>
  <dcterms:created xsi:type="dcterms:W3CDTF">2022-08-23T12:50:13Z</dcterms:created>
  <dcterms:modified xsi:type="dcterms:W3CDTF">2024-10-07T14:11:41Z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0x010100EBFF9A500805094E93638FF8ADDC167A</vt:lpwstr>
  </property>
  <property fmtid="{D5CDD505-2E9C-101B-9397-08002B2CF9AE}" pid="3" name="MediaServiceImageTags">
    <vt:lpwstr/>
  </property>
</Properties>
</file>